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xl/attachedToolbars.bin" ContentType="application/vnd.ms-excel.attachedToolbars"/>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226"/>
  <workbookPr updateLinks="never" codeName="ThisWorkbook" defaultThemeVersion="124226"/>
  <mc:AlternateContent xmlns:mc="http://schemas.openxmlformats.org/markup-compatibility/2006">
    <mc:Choice Requires="x15">
      <x15ac:absPath xmlns:x15ac="http://schemas.microsoft.com/office/spreadsheetml/2010/11/ac" url="H:\Ali's Products\Fire Source\"/>
    </mc:Choice>
  </mc:AlternateContent>
  <xr:revisionPtr revIDLastSave="0" documentId="10_ncr:8100000_{11FDFEE1-D344-4ECD-A205-7B704F1BA1CA}" xr6:coauthVersionLast="32" xr6:coauthVersionMax="32" xr10:uidLastSave="{00000000-0000-0000-0000-000000000000}"/>
  <workbookProtection workbookAlgorithmName="SHA-512" workbookHashValue="BNqmrPiO+MlIoO2pjj0iL8QGgPZyefZd6Nv1LVBjtc8rnCJx6JZQnwIUMXAzHfNBd6TKi1lbRBhHPhZTPx7Qmw==" workbookSaltValue="NafcPHya6LQr+pEa17HBaw==" workbookSpinCount="100000" lockStructure="1"/>
  <bookViews>
    <workbookView xWindow="480" yWindow="120" windowWidth="11355" windowHeight="6330" tabRatio="649" xr2:uid="{00000000-000D-0000-FFFF-FFFF00000000}"/>
  </bookViews>
  <sheets>
    <sheet name="Introduction" sheetId="45" r:id="rId1"/>
    <sheet name="Summary" sheetId="15" r:id="rId2"/>
    <sheet name="raw data" sheetId="47" state="hidden" r:id="rId3"/>
    <sheet name="Protected Areas" sheetId="46" r:id="rId4"/>
    <sheet name="Nozzle &amp; Flow Rate" sheetId="49" r:id="rId5"/>
    <sheet name="THORN Cylinder" sheetId="41" r:id="rId6"/>
    <sheet name="LPG Cylinder" sheetId="42" r:id="rId7"/>
    <sheet name="Pipe" sheetId="38" state="hidden" r:id="rId8"/>
    <sheet name="Altitude" sheetId="48" r:id="rId9"/>
    <sheet name="NFPA S.V.V" sheetId="21" r:id="rId10"/>
    <sheet name="Fule M.D.C" sheetId="3" r:id="rId11"/>
    <sheet name="M.D.C ( MARIN )" sheetId="23" state="hidden" r:id="rId12"/>
    <sheet name="FM 200 Info." sheetId="22" state="hidden" r:id="rId13"/>
    <sheet name="1.Container" sheetId="28" state="hidden" r:id="rId14"/>
    <sheet name="3.NOZZELS" sheetId="34" state="hidden" r:id="rId15"/>
    <sheet name="Flow" sheetId="14" state="hidden" r:id="rId16"/>
    <sheet name="Opening Loss" sheetId="6" state="hidden" r:id="rId17"/>
  </sheets>
  <externalReferences>
    <externalReference r:id="rId18"/>
  </externalReferences>
  <definedNames>
    <definedName name="_xlnm._FilterDatabase" localSheetId="3" hidden="1">'Protected Areas'!#REF!</definedName>
    <definedName name="Altitude_Correction_Factors">Altitude!$D$11</definedName>
    <definedName name="brand">'Protected Areas'!$E$65</definedName>
    <definedName name="container" localSheetId="7">Pipe!#REF!</definedName>
    <definedName name="Cylinder_Filling_L_Max.">'raw data'!$O$24</definedName>
    <definedName name="Cylinder_Filling_L_Min.">'raw data'!$O$22</definedName>
    <definedName name="Cylinder_Filling_LPG">'raw data'!$O$14</definedName>
    <definedName name="Cylinder_Filling_T_Max.">'raw data'!$O$23</definedName>
    <definedName name="Cylinder_Filling_T_Min.">'raw data'!$O$21</definedName>
    <definedName name="Cylinder_Filling_THORN">'raw data'!$O$13</definedName>
    <definedName name="Cylinder_PN_LPG1">'raw data'!$O$16</definedName>
    <definedName name="Cylinder_PN_LPG2">'raw data'!$O$17</definedName>
    <definedName name="Cylinder_PN_LPG3">'raw data'!$O$19</definedName>
    <definedName name="Cylinder_PN_THORN">'raw data'!$O$15</definedName>
    <definedName name="Cylinder_Size">'Protected Areas'!$E$66</definedName>
    <definedName name="Cylinders_Size_List">'raw data'!$E$13:$E$20</definedName>
    <definedName name="Design_Standards">'raw data'!$A$3:$A$7</definedName>
    <definedName name="Fire_Class">'Protected Areas'!$E$13</definedName>
    <definedName name="Fire_Class_NO">'Protected Areas'!$E$14</definedName>
    <definedName name="Fire_Classification">'raw data'!$B$3:$B$5</definedName>
    <definedName name="L_100_Max">'LPG Cylinder'!$N$19</definedName>
    <definedName name="L_100_Min">'LPG Cylinder'!$M$19</definedName>
    <definedName name="L_120_Max">'LPG Cylinder'!$N$16</definedName>
    <definedName name="L_120_Min">'LPG Cylinder'!$M$16</definedName>
    <definedName name="L_13.4_Max">'LPG Cylinder'!$N$32</definedName>
    <definedName name="L_13.4_Min">'LPG Cylinder'!$M$32</definedName>
    <definedName name="L_26.8_Max">'LPG Cylinder'!$N$30</definedName>
    <definedName name="L_26.8_Min">'LPG Cylinder'!$M$30</definedName>
    <definedName name="L_40.2_Max">'LPG Cylinder'!$N$28</definedName>
    <definedName name="L_40.2_Min">'LPG Cylinder'!$M$28</definedName>
    <definedName name="L_5_Max">'LPG Cylinder'!$N$34</definedName>
    <definedName name="L_5_Min">'LPG Cylinder'!$M$34</definedName>
    <definedName name="L_67_Max">'LPG Cylinder'!$N$25</definedName>
    <definedName name="L_67_Min">'LPG Cylinder'!$M$25</definedName>
    <definedName name="L_75_Max">'LPG Cylinder'!$N$22</definedName>
    <definedName name="L_75_Min">'LPG Cylinder'!$M$22</definedName>
    <definedName name="LPG_100_M1">'LPG Cylinder'!$A$19</definedName>
    <definedName name="LPG_100_M2">'LPG Cylinder'!$A$20</definedName>
    <definedName name="LPG_100_S">'LPG Cylinder'!$A$21</definedName>
    <definedName name="LPG_120_M1">'LPG Cylinder'!$A$16</definedName>
    <definedName name="LPG_120_M2">'LPG Cylinder'!$A$17</definedName>
    <definedName name="LPG_120_S">'LPG Cylinder'!$A$18</definedName>
    <definedName name="LPG_13.4_M1">'LPG Cylinder'!$A$32</definedName>
    <definedName name="LPG_13.4_S">'LPG Cylinder'!$A$33</definedName>
    <definedName name="LPG_26.8_M1">'LPG Cylinder'!$A$30</definedName>
    <definedName name="LPG_26.8_S">'LPG Cylinder'!$A$31</definedName>
    <definedName name="LPG_40.2_M1">'LPG Cylinder'!$A$28</definedName>
    <definedName name="LPG_40.2_S">'LPG Cylinder'!$A$29</definedName>
    <definedName name="LPG_5_M1">'LPG Cylinder'!$A$34</definedName>
    <definedName name="LPG_5_S">'LPG Cylinder'!$A$35</definedName>
    <definedName name="LPG_67_M1">'LPG Cylinder'!$A$25</definedName>
    <definedName name="LPG_67_M2">'LPG Cylinder'!$A$26</definedName>
    <definedName name="LPG_67_S">'LPG Cylinder'!$A$27</definedName>
    <definedName name="LPG_75_M1">'LPG Cylinder'!$A$22</definedName>
    <definedName name="LPG_75_M2">'LPG Cylinder'!$A$23</definedName>
    <definedName name="LPG_75_S">'LPG Cylinder'!$A$24</definedName>
    <definedName name="M.D.C.">'Protected Areas'!$E$21</definedName>
    <definedName name="M.D.C._10">'NFPA S.V.V'!$L$15</definedName>
    <definedName name="M.D.C._11">'NFPA S.V.V'!$M$15</definedName>
    <definedName name="M.D.C._12">'NFPA S.V.V'!$N$15</definedName>
    <definedName name="M.D.C._13">'NFPA S.V.V'!$O$15</definedName>
    <definedName name="M.D.C._14">'NFPA S.V.V'!$P$15</definedName>
    <definedName name="M.D.C._15">'NFPA S.V.V'!$Q$15</definedName>
    <definedName name="M.D.C._6">'NFPA S.V.V'!$H$15</definedName>
    <definedName name="M.D.C._7">'NFPA S.V.V'!$I$15</definedName>
    <definedName name="M.D.C._8">'NFPA S.V.V'!$J$15</definedName>
    <definedName name="M.D.C._9">'NFPA S.V.V'!$K$15</definedName>
    <definedName name="M.D.C_EN">'raw data'!$G$7</definedName>
    <definedName name="M.D.C_FM">'raw data'!$G$5</definedName>
    <definedName name="M.D.C_ISO">'raw data'!$G$4</definedName>
    <definedName name="M.D.C_NFPA">'raw data'!$G$3</definedName>
    <definedName name="M.D.C_Vds">'raw data'!$G$6</definedName>
    <definedName name="Nozzle_LPG_spec">'raw data'!$D$34</definedName>
    <definedName name="Nozzle_THORN_spec">'raw data'!$D$27</definedName>
    <definedName name="Number_of_Cylinder">'Protected Areas'!$E$67</definedName>
    <definedName name="Number_of_Hazard">'Protected Areas'!$E$30</definedName>
    <definedName name="_xlnm.Print_Area" localSheetId="8">Altitude!$A$1:$I$35</definedName>
    <definedName name="_xlnm.Print_Area" localSheetId="10">'Fule M.D.C'!$A$1:$C$64</definedName>
    <definedName name="_xlnm.Print_Area" localSheetId="6">'LPG Cylinder'!$A$1:$N$39</definedName>
    <definedName name="_xlnm.Print_Area" localSheetId="9">'NFPA S.V.V'!$A$1:$Q$39</definedName>
    <definedName name="_xlnm.Print_Area" localSheetId="4">'Nozzle &amp; Flow Rate'!$A$1:$W$37</definedName>
    <definedName name="_xlnm.Print_Area" localSheetId="7">Pipe!$A$1:$L$33</definedName>
    <definedName name="_xlnm.Print_Area" localSheetId="3">'Protected Areas'!$A$1:$S$90</definedName>
    <definedName name="_xlnm.Print_Area" localSheetId="1">Summary!$A$1:$K$39</definedName>
    <definedName name="_xlnm.Print_Area" localSheetId="5">'THORN Cylinder'!$A$1:$N$29</definedName>
    <definedName name="Project.Name">Summary!$C$9</definedName>
    <definedName name="quantity" localSheetId="7">Pipe!#REF!</definedName>
    <definedName name="quantity">Summary!$E$32</definedName>
    <definedName name="S.V.V._Max.">'Protected Areas'!$P$26</definedName>
    <definedName name="S.V.V._Min.">'Protected Areas'!$P$24</definedName>
    <definedName name="s.v.volume">'NFPA S.V.V'!$P$8</definedName>
    <definedName name="Sea_Level">'Protected Areas'!$E$46</definedName>
    <definedName name="Standards">'Protected Areas'!$E$9</definedName>
    <definedName name="T_106_Max">'THORN Cylinder'!$E$21</definedName>
    <definedName name="T_106_Min">'THORN Cylinder'!$C$21</definedName>
    <definedName name="T_147_Max">'THORN Cylinder'!$E$22</definedName>
    <definedName name="T_147_Min">'THORN Cylinder'!$C$22</definedName>
    <definedName name="T_16_Max">'THORN Cylinder'!$E$15</definedName>
    <definedName name="T_16_Min">'THORN Cylinder'!$C$15</definedName>
    <definedName name="T_180_Max">'THORN Cylinder'!$E$23</definedName>
    <definedName name="T_180_Min">'THORN Cylinder'!$C$23</definedName>
    <definedName name="T_32_Max">'THORN Cylinder'!$E$16</definedName>
    <definedName name="T_32_Min">'THORN Cylinder'!$C$16</definedName>
    <definedName name="T_343_Max">'THORN Cylinder'!$E$24</definedName>
    <definedName name="T_343_Min">'THORN Cylinder'!$C$24</definedName>
    <definedName name="T_4.5_Max">'THORN Cylinder'!$E$13</definedName>
    <definedName name="T_4.5_Min">'THORN Cylinder'!$C$13</definedName>
    <definedName name="T_40_Max">'THORN Cylinder'!$E$17</definedName>
    <definedName name="T_40_Min">'THORN Cylinder'!$C$17</definedName>
    <definedName name="T_52_Max">'THORN Cylinder'!$E$18</definedName>
    <definedName name="T_52_Min">'THORN Cylinder'!$C$18</definedName>
    <definedName name="T_67.5_Max">'THORN Cylinder'!$E$19</definedName>
    <definedName name="T_67.5_Min">'THORN Cylinder'!$C$19</definedName>
    <definedName name="T_8_Max">'THORN Cylinder'!$E$14</definedName>
    <definedName name="T_8_Min">'THORN Cylinder'!$C$14</definedName>
    <definedName name="T_80_Max">'THORN Cylinder'!$E$20</definedName>
    <definedName name="T_80_Min">'THORN Cylinder'!$C$20</definedName>
    <definedName name="Temp._Max.">'Protected Areas'!$E$26</definedName>
    <definedName name="Temp._Min.">'Protected Areas'!$E$24</definedName>
    <definedName name="THORN_106">'THORN Cylinder'!$B$21</definedName>
    <definedName name="THORN_147">'THORN Cylinder'!$B$22</definedName>
    <definedName name="THORN_16">'THORN Cylinder'!$B$15</definedName>
    <definedName name="THORN_180">'THORN Cylinder'!$B$23</definedName>
    <definedName name="THORN_32">'THORN Cylinder'!$B$16</definedName>
    <definedName name="THORN_343">'THORN Cylinder'!$B$24</definedName>
    <definedName name="THORN_4.5">'THORN Cylinder'!$B$13</definedName>
    <definedName name="THORN_40">'THORN Cylinder'!$B$17</definedName>
    <definedName name="THORN_52">'THORN Cylinder'!$B$18</definedName>
    <definedName name="THORN_67">'THORN Cylinder'!$B$19</definedName>
    <definedName name="THORN_8">'THORN Cylinder'!$B$14</definedName>
    <definedName name="THORN_80">'THORN Cylinder'!$B$20</definedName>
    <definedName name="Total.Volume">'Protected Areas'!$O$30</definedName>
    <definedName name="Total.Volume.1">'Protected Areas'!$M$36</definedName>
    <definedName name="Total.Volume.2">'Protected Areas'!$M$37</definedName>
    <definedName name="Total.Volume.3">'Protected Areas'!$M$38</definedName>
    <definedName name="Total.Volume.4">'Protected Areas'!$M$39</definedName>
    <definedName name="Total.Volume.5">'Protected Areas'!$M$40</definedName>
    <definedName name="Total_Agent">'Protected Areas'!$P$53</definedName>
    <definedName name="Total_Agent_Basic">'Protected Areas'!$O$43</definedName>
    <definedName name="Total_Agent_Set">'Protected Areas'!$E$53</definedName>
    <definedName name="Volume_01_percent">'Protected Areas'!$N$36</definedName>
    <definedName name="Volume_02_percent">'Protected Areas'!$N$37</definedName>
    <definedName name="Volume_03_percent">'Protected Areas'!$N$38</definedName>
    <definedName name="Volume_04_percent">'Protected Areas'!$N$39</definedName>
    <definedName name="Volume_05_percent">'Protected Areas'!$N$40</definedName>
  </definedNames>
  <calcPr calcId="162913"/>
</workbook>
</file>

<file path=xl/calcChain.xml><?xml version="1.0" encoding="utf-8"?>
<calcChain xmlns="http://schemas.openxmlformats.org/spreadsheetml/2006/main">
  <c r="Q68" i="46" l="1"/>
  <c r="E10" i="46"/>
  <c r="F7" i="47" s="1"/>
  <c r="S2" i="46" l="1"/>
  <c r="S1" i="46"/>
  <c r="D2" i="47"/>
  <c r="Q2" i="21" l="1"/>
  <c r="Q1" i="21"/>
  <c r="B2" i="45"/>
  <c r="B1" i="45"/>
  <c r="A6" i="21"/>
  <c r="G8" i="21"/>
  <c r="A9" i="42"/>
  <c r="A9" i="41"/>
  <c r="V35" i="49"/>
  <c r="E36" i="15" s="1"/>
  <c r="K34" i="15"/>
  <c r="E34" i="15"/>
  <c r="E20" i="49"/>
  <c r="B29" i="49"/>
  <c r="B30" i="49"/>
  <c r="B31" i="49"/>
  <c r="B32" i="49"/>
  <c r="B28" i="49"/>
  <c r="A29" i="49"/>
  <c r="A30" i="49"/>
  <c r="A31" i="49"/>
  <c r="A32" i="49"/>
  <c r="A28" i="49"/>
  <c r="C13" i="49"/>
  <c r="F29" i="49"/>
  <c r="G29" i="49"/>
  <c r="H29" i="49"/>
  <c r="F30" i="49"/>
  <c r="G30" i="49"/>
  <c r="H30" i="49"/>
  <c r="F31" i="49"/>
  <c r="G31" i="49"/>
  <c r="H31" i="49"/>
  <c r="F32" i="49"/>
  <c r="G32" i="49"/>
  <c r="H32" i="49"/>
  <c r="G28" i="49"/>
  <c r="H28" i="49"/>
  <c r="F28" i="49"/>
  <c r="F8" i="49"/>
  <c r="E8" i="49"/>
  <c r="A6" i="49"/>
  <c r="J32" i="49" l="1"/>
  <c r="L32" i="49" s="1"/>
  <c r="I32" i="49"/>
  <c r="AA32" i="49" s="1"/>
  <c r="I31" i="49"/>
  <c r="X31" i="49" s="1"/>
  <c r="I39" i="49"/>
  <c r="I28" i="49"/>
  <c r="I29" i="49"/>
  <c r="I40" i="49"/>
  <c r="J31" i="49"/>
  <c r="L31" i="49" s="1"/>
  <c r="I41" i="49"/>
  <c r="J30" i="49"/>
  <c r="L30" i="49" s="1"/>
  <c r="I30" i="49"/>
  <c r="J28" i="49"/>
  <c r="L28" i="49" s="1"/>
  <c r="J29" i="49"/>
  <c r="L29" i="49" s="1"/>
  <c r="AA31" i="49" l="1"/>
  <c r="X32" i="49"/>
  <c r="X30" i="49"/>
  <c r="AA30" i="49"/>
  <c r="X28" i="49"/>
  <c r="AA28" i="49"/>
  <c r="X29" i="49"/>
  <c r="AA29" i="49"/>
  <c r="O23" i="47"/>
  <c r="O22" i="47" l="1"/>
  <c r="O21" i="47"/>
  <c r="O19" i="47"/>
  <c r="O18" i="47"/>
  <c r="O17" i="47"/>
  <c r="P68" i="46" l="1"/>
  <c r="P67" i="46"/>
  <c r="O13" i="47"/>
  <c r="M7" i="42"/>
  <c r="M6" i="42"/>
  <c r="L7" i="41"/>
  <c r="L6" i="41"/>
  <c r="O16" i="47"/>
  <c r="O24" i="47" l="1"/>
  <c r="O15" i="47"/>
  <c r="Q67" i="46" s="1"/>
  <c r="O14" i="47"/>
  <c r="Q66" i="46" l="1"/>
  <c r="E14" i="47"/>
  <c r="E15" i="47"/>
  <c r="E16" i="47"/>
  <c r="E17" i="47"/>
  <c r="E18" i="47"/>
  <c r="E19" i="47"/>
  <c r="E20" i="47"/>
  <c r="E13" i="47"/>
  <c r="A6" i="48"/>
  <c r="I1" i="48"/>
  <c r="D20" i="48"/>
  <c r="D21" i="48"/>
  <c r="D22" i="48"/>
  <c r="D23" i="48"/>
  <c r="D24" i="48"/>
  <c r="D25" i="48"/>
  <c r="D26" i="48"/>
  <c r="D27" i="48"/>
  <c r="D28" i="48"/>
  <c r="D29" i="48"/>
  <c r="D30" i="48"/>
  <c r="D31" i="48"/>
  <c r="D32" i="48"/>
  <c r="D19" i="48"/>
  <c r="K32" i="48"/>
  <c r="K31" i="48" s="1"/>
  <c r="K30" i="48" s="1"/>
  <c r="K29" i="48" s="1"/>
  <c r="K28" i="48" s="1"/>
  <c r="K27" i="48" s="1"/>
  <c r="K26" i="48" s="1"/>
  <c r="K25" i="48" s="1"/>
  <c r="K24" i="48" s="1"/>
  <c r="K23" i="48" s="1"/>
  <c r="K22" i="48" s="1"/>
  <c r="K21" i="48" s="1"/>
  <c r="K20" i="48" s="1"/>
  <c r="K19" i="48" s="1"/>
  <c r="D11" i="48" s="1"/>
  <c r="P46" i="46" s="1"/>
  <c r="D9" i="48" l="1"/>
  <c r="P26" i="46" l="1"/>
  <c r="P24" i="46"/>
  <c r="F3" i="47" l="1"/>
  <c r="F6" i="47" l="1"/>
  <c r="F4" i="47"/>
  <c r="F5" i="47"/>
  <c r="E14" i="46"/>
  <c r="R1" i="46"/>
  <c r="W1" i="49" s="1"/>
  <c r="H46" i="46"/>
  <c r="K40" i="46"/>
  <c r="M40" i="46" s="1"/>
  <c r="J40" i="46"/>
  <c r="I40" i="46"/>
  <c r="K39" i="46"/>
  <c r="M39" i="46" s="1"/>
  <c r="J39" i="46"/>
  <c r="I39" i="46"/>
  <c r="K38" i="46"/>
  <c r="M38" i="46" s="1"/>
  <c r="J38" i="46"/>
  <c r="I38" i="46"/>
  <c r="K37" i="46"/>
  <c r="M37" i="46" s="1"/>
  <c r="J37" i="46"/>
  <c r="I37" i="46"/>
  <c r="K36" i="46"/>
  <c r="M36" i="46" s="1"/>
  <c r="J36" i="46"/>
  <c r="I36" i="46"/>
  <c r="A6" i="46"/>
  <c r="E7" i="47" l="1"/>
  <c r="E4" i="47"/>
  <c r="E3" i="47"/>
  <c r="G7" i="47"/>
  <c r="E6" i="47"/>
  <c r="O30" i="46"/>
  <c r="M30" i="49" s="1"/>
  <c r="I13" i="46"/>
  <c r="G4" i="47"/>
  <c r="G6" i="47"/>
  <c r="G3" i="47"/>
  <c r="E15" i="46" s="1"/>
  <c r="E5" i="47"/>
  <c r="G5" i="47"/>
  <c r="E8" i="47" l="1"/>
  <c r="B17" i="46" s="1"/>
  <c r="I21" i="46"/>
  <c r="M32" i="49"/>
  <c r="N40" i="46"/>
  <c r="S40" i="46" s="1"/>
  <c r="M31" i="49"/>
  <c r="N37" i="46"/>
  <c r="S37" i="46" s="1"/>
  <c r="V20" i="49"/>
  <c r="M28" i="49"/>
  <c r="M29" i="49"/>
  <c r="N39" i="46"/>
  <c r="S39" i="46" s="1"/>
  <c r="N38" i="46"/>
  <c r="S38" i="46" s="1"/>
  <c r="N36" i="46"/>
  <c r="S36" i="46" s="1"/>
  <c r="D63" i="46" l="1"/>
  <c r="E21" i="46"/>
  <c r="G10" i="21" l="1"/>
  <c r="O36" i="46"/>
  <c r="O38" i="46"/>
  <c r="O40" i="46"/>
  <c r="O39" i="46"/>
  <c r="O37" i="46"/>
  <c r="H30" i="15"/>
  <c r="E30" i="15"/>
  <c r="O43" i="46" l="1"/>
  <c r="P28" i="49" l="1"/>
  <c r="O28" i="49"/>
  <c r="P51" i="46"/>
  <c r="E55" i="46" l="1"/>
  <c r="I53" i="46" s="1"/>
  <c r="F55" i="46"/>
  <c r="P53" i="46"/>
  <c r="V22" i="49" l="1"/>
  <c r="E32" i="15"/>
  <c r="C6" i="42"/>
  <c r="P58" i="46"/>
  <c r="P57" i="46"/>
  <c r="N29" i="49"/>
  <c r="N31" i="49"/>
  <c r="N30" i="49"/>
  <c r="N28" i="49"/>
  <c r="Q28" i="49" s="1"/>
  <c r="N32" i="49"/>
  <c r="P36" i="46"/>
  <c r="U36" i="46" s="1"/>
  <c r="P37" i="46"/>
  <c r="U37" i="46" s="1"/>
  <c r="C6" i="41"/>
  <c r="P39" i="46"/>
  <c r="U39" i="46" s="1"/>
  <c r="P40" i="46"/>
  <c r="U40" i="46" s="1"/>
  <c r="P38" i="46"/>
  <c r="U38" i="46" s="1"/>
  <c r="Q69" i="46"/>
  <c r="D72" i="46" s="1"/>
  <c r="C72" i="46" l="1"/>
  <c r="D71" i="46" s="1"/>
  <c r="I66" i="46"/>
  <c r="C77" i="46"/>
  <c r="I75" i="46" s="1"/>
  <c r="Y30" i="49"/>
  <c r="Z30" i="49" s="1"/>
  <c r="S30" i="49" s="1"/>
  <c r="AB30" i="49"/>
  <c r="AC30" i="49" s="1"/>
  <c r="Y31" i="49"/>
  <c r="Z31" i="49" s="1"/>
  <c r="AB31" i="49"/>
  <c r="AC31" i="49" s="1"/>
  <c r="AB32" i="49"/>
  <c r="AC32" i="49" s="1"/>
  <c r="Y32" i="49"/>
  <c r="Z32" i="49" s="1"/>
  <c r="AB29" i="49"/>
  <c r="AC29" i="49" s="1"/>
  <c r="Y29" i="49"/>
  <c r="Z29" i="49" s="1"/>
  <c r="Y28" i="49"/>
  <c r="Z28" i="49" s="1"/>
  <c r="AB28" i="49"/>
  <c r="AC28" i="49" s="1"/>
  <c r="D77" i="46"/>
  <c r="C61" i="46"/>
  <c r="U28" i="49"/>
  <c r="R28" i="49"/>
  <c r="U30" i="49"/>
  <c r="R30" i="49"/>
  <c r="Q30" i="49"/>
  <c r="U31" i="49"/>
  <c r="Q31" i="49"/>
  <c r="R31" i="49"/>
  <c r="U32" i="49"/>
  <c r="Q32" i="49"/>
  <c r="R32" i="49"/>
  <c r="U29" i="49"/>
  <c r="Q29" i="49"/>
  <c r="R29" i="49"/>
  <c r="W32" i="49" l="1"/>
  <c r="V32" i="49"/>
  <c r="V28" i="49"/>
  <c r="W28" i="49"/>
  <c r="W29" i="49"/>
  <c r="V29" i="49"/>
  <c r="W30" i="49"/>
  <c r="V30" i="49"/>
  <c r="W31" i="49"/>
  <c r="V31" i="49"/>
  <c r="D61" i="46"/>
  <c r="D60" i="46"/>
  <c r="S28" i="49"/>
  <c r="S31" i="49"/>
  <c r="S29" i="49"/>
  <c r="S32" i="49"/>
  <c r="A5" i="38" l="1"/>
  <c r="C43" i="21" l="1"/>
  <c r="P15" i="6"/>
  <c r="J5" i="14"/>
  <c r="J8" i="14" s="1"/>
  <c r="D8" i="14"/>
  <c r="P9" i="6"/>
  <c r="C42" i="21" l="1"/>
  <c r="C41" i="21"/>
  <c r="P8" i="21" s="1"/>
  <c r="P28" i="46" l="1"/>
  <c r="R21" i="21"/>
  <c r="R25" i="21"/>
  <c r="R29" i="21"/>
  <c r="R33" i="21"/>
  <c r="R37" i="21"/>
  <c r="R18" i="21"/>
  <c r="R22" i="21"/>
  <c r="R26" i="21"/>
  <c r="R30" i="21"/>
  <c r="R34" i="21"/>
  <c r="R17" i="21"/>
  <c r="R23" i="21"/>
  <c r="R27" i="21"/>
  <c r="R31" i="21"/>
  <c r="R35" i="21"/>
  <c r="R19" i="21"/>
  <c r="R20" i="21"/>
  <c r="R24" i="21"/>
  <c r="R28" i="21"/>
  <c r="R32" i="21"/>
  <c r="R36" i="21"/>
  <c r="E12" i="38"/>
  <c r="K13" i="38"/>
  <c r="E11" i="38" l="1"/>
  <c r="K11" i="38"/>
  <c r="K8" i="38"/>
  <c r="K12" i="38" l="1"/>
  <c r="E13" i="38"/>
  <c r="E8" i="38"/>
  <c r="R2" i="46"/>
  <c r="W2" i="49" s="1"/>
  <c r="I2" i="48"/>
  <c r="AB22" i="21" l="1"/>
  <c r="AA22" i="21"/>
  <c r="Z22" i="21"/>
  <c r="Y22" i="21"/>
  <c r="X22" i="21"/>
  <c r="W22" i="21"/>
  <c r="V22" i="21"/>
  <c r="U22" i="21" s="1"/>
  <c r="T22" i="21" s="1"/>
  <c r="S22" i="21" s="1"/>
  <c r="V34" i="21"/>
  <c r="U34" i="21" s="1"/>
  <c r="T34" i="21" s="1"/>
  <c r="S34" i="21" s="1"/>
  <c r="AB34" i="21"/>
  <c r="AA34" i="21"/>
  <c r="Z34" i="21"/>
  <c r="Y34" i="21"/>
  <c r="X34" i="21"/>
  <c r="W34" i="21"/>
  <c r="V33" i="21"/>
  <c r="U33" i="21" s="1"/>
  <c r="T33" i="21" s="1"/>
  <c r="S33" i="21" s="1"/>
  <c r="AB33" i="21"/>
  <c r="AA33" i="21"/>
  <c r="Z33" i="21"/>
  <c r="Y33" i="21"/>
  <c r="X33" i="21"/>
  <c r="W33" i="21"/>
  <c r="Y30" i="21"/>
  <c r="X30" i="21"/>
  <c r="W30" i="21"/>
  <c r="V30" i="21"/>
  <c r="U30" i="21" s="1"/>
  <c r="T30" i="21" s="1"/>
  <c r="S30" i="21" s="1"/>
  <c r="AB30" i="21"/>
  <c r="AA30" i="21"/>
  <c r="Z30" i="21"/>
  <c r="X31" i="21"/>
  <c r="W31" i="21"/>
  <c r="V31" i="21"/>
  <c r="U31" i="21" s="1"/>
  <c r="T31" i="21" s="1"/>
  <c r="S31" i="21" s="1"/>
  <c r="AB31" i="21"/>
  <c r="AA31" i="21"/>
  <c r="Z31" i="21"/>
  <c r="Y31" i="21"/>
  <c r="AA20" i="21"/>
  <c r="Z20" i="21"/>
  <c r="Y20" i="21"/>
  <c r="X20" i="21"/>
  <c r="W20" i="21"/>
  <c r="V20" i="21"/>
  <c r="U20" i="21" s="1"/>
  <c r="T20" i="21" s="1"/>
  <c r="S20" i="21" s="1"/>
  <c r="AB20" i="21"/>
  <c r="V29" i="21"/>
  <c r="U29" i="21" s="1"/>
  <c r="T29" i="21" s="1"/>
  <c r="S29" i="21" s="1"/>
  <c r="AB29" i="21"/>
  <c r="AA29" i="21"/>
  <c r="Z29" i="21"/>
  <c r="Y29" i="21"/>
  <c r="X29" i="21"/>
  <c r="W29" i="21"/>
  <c r="Y26" i="21"/>
  <c r="X26" i="21"/>
  <c r="W26" i="21"/>
  <c r="V26" i="21"/>
  <c r="U26" i="21" s="1"/>
  <c r="T26" i="21" s="1"/>
  <c r="S26" i="21" s="1"/>
  <c r="AB26" i="21"/>
  <c r="AA26" i="21"/>
  <c r="Z26" i="21"/>
  <c r="X28" i="21"/>
  <c r="W28" i="21"/>
  <c r="V28" i="21"/>
  <c r="U28" i="21" s="1"/>
  <c r="T28" i="21" s="1"/>
  <c r="S28" i="21" s="1"/>
  <c r="AB28" i="21"/>
  <c r="AA28" i="21"/>
  <c r="Z28" i="21"/>
  <c r="Y28" i="21"/>
  <c r="AA27" i="21"/>
  <c r="Z27" i="21"/>
  <c r="Y27" i="21"/>
  <c r="X27" i="21"/>
  <c r="W27" i="21"/>
  <c r="V27" i="21"/>
  <c r="U27" i="21" s="1"/>
  <c r="T27" i="21" s="1"/>
  <c r="S27" i="21" s="1"/>
  <c r="AB27" i="21"/>
  <c r="V32" i="21"/>
  <c r="U32" i="21" s="1"/>
  <c r="T32" i="21" s="1"/>
  <c r="S32" i="21" s="1"/>
  <c r="AB32" i="21"/>
  <c r="AA32" i="21"/>
  <c r="Z32" i="21"/>
  <c r="Y32" i="21"/>
  <c r="X32" i="21"/>
  <c r="W32" i="21"/>
  <c r="Y24" i="21"/>
  <c r="X24" i="21"/>
  <c r="W24" i="21"/>
  <c r="V24" i="21"/>
  <c r="U24" i="21" s="1"/>
  <c r="T24" i="21" s="1"/>
  <c r="S24" i="21" s="1"/>
  <c r="AB24" i="21"/>
  <c r="AA24" i="21"/>
  <c r="Z24" i="21"/>
  <c r="X37" i="21"/>
  <c r="W37" i="21"/>
  <c r="V37" i="21"/>
  <c r="U37" i="21" s="1"/>
  <c r="T37" i="21" s="1"/>
  <c r="S37" i="21" s="1"/>
  <c r="AB37" i="21"/>
  <c r="AA37" i="21"/>
  <c r="Z37" i="21"/>
  <c r="Y37" i="21"/>
  <c r="AA18" i="21"/>
  <c r="Z18" i="21"/>
  <c r="Y18" i="21"/>
  <c r="X18" i="21"/>
  <c r="W18" i="21"/>
  <c r="V18" i="21"/>
  <c r="U18" i="21" s="1"/>
  <c r="T18" i="21" s="1"/>
  <c r="S18" i="21" s="1"/>
  <c r="AB18" i="21"/>
  <c r="AB23" i="21"/>
  <c r="AA23" i="21"/>
  <c r="Z23" i="21"/>
  <c r="Y23" i="21"/>
  <c r="X23" i="21"/>
  <c r="W23" i="21"/>
  <c r="V23" i="21"/>
  <c r="U23" i="21" s="1"/>
  <c r="T23" i="21" s="1"/>
  <c r="S23" i="21" s="1"/>
  <c r="AB35" i="21"/>
  <c r="AA35" i="21"/>
  <c r="Z35" i="21"/>
  <c r="Y35" i="21"/>
  <c r="X35" i="21"/>
  <c r="W35" i="21"/>
  <c r="V35" i="21"/>
  <c r="U35" i="21" s="1"/>
  <c r="T35" i="21" s="1"/>
  <c r="S35" i="21" s="1"/>
  <c r="AA21" i="21"/>
  <c r="Z21" i="21"/>
  <c r="Y21" i="21"/>
  <c r="X21" i="21"/>
  <c r="W21" i="21"/>
  <c r="V21" i="21"/>
  <c r="U21" i="21" s="1"/>
  <c r="T21" i="21" s="1"/>
  <c r="S21" i="21" s="1"/>
  <c r="AB21" i="21"/>
  <c r="V25" i="21"/>
  <c r="U25" i="21" s="1"/>
  <c r="T25" i="21" s="1"/>
  <c r="S25" i="21" s="1"/>
  <c r="AB25" i="21"/>
  <c r="AA25" i="21"/>
  <c r="Z25" i="21"/>
  <c r="Y25" i="21"/>
  <c r="X25" i="21"/>
  <c r="W25" i="21"/>
  <c r="AA19" i="21"/>
  <c r="Z19" i="21"/>
  <c r="Y19" i="21"/>
  <c r="X19" i="21"/>
  <c r="W19" i="21"/>
  <c r="V19" i="21"/>
  <c r="U19" i="21" s="1"/>
  <c r="T19" i="21" s="1"/>
  <c r="S19" i="21" s="1"/>
  <c r="AB19" i="21"/>
  <c r="W36" i="21"/>
  <c r="V36" i="21"/>
  <c r="U36" i="21" s="1"/>
  <c r="T36" i="21" s="1"/>
  <c r="S36" i="21" s="1"/>
  <c r="AB36" i="21"/>
  <c r="AA36" i="21"/>
  <c r="Z36" i="21"/>
  <c r="Y36" i="21"/>
  <c r="X36" i="21"/>
  <c r="Z17" i="21"/>
  <c r="Y17" i="21"/>
  <c r="X17" i="21"/>
  <c r="W17" i="21"/>
  <c r="V17" i="21"/>
  <c r="U17" i="21" s="1"/>
  <c r="T17" i="21" s="1"/>
  <c r="S17" i="21" s="1"/>
  <c r="AB17" i="21"/>
  <c r="AA17" i="21"/>
  <c r="AC22" i="21" l="1"/>
  <c r="AC17" i="21"/>
  <c r="AC28" i="21"/>
  <c r="AC30" i="21"/>
  <c r="AC24" i="21"/>
  <c r="AC35" i="21"/>
  <c r="AC36" i="21"/>
  <c r="AC23" i="21"/>
  <c r="AC18" i="21"/>
  <c r="AC32" i="21"/>
  <c r="AC34" i="21"/>
  <c r="AC21" i="21"/>
  <c r="AC27" i="21"/>
  <c r="AC29" i="21"/>
  <c r="AC26" i="21"/>
  <c r="AC37" i="21"/>
  <c r="AC20" i="21"/>
  <c r="AC19" i="21"/>
  <c r="AC31" i="21"/>
  <c r="AC25" i="21"/>
  <c r="AC33" i="21"/>
  <c r="P10" i="21" l="1"/>
  <c r="R39" i="46" s="1"/>
  <c r="R40" i="46" l="1"/>
  <c r="R36" i="46"/>
  <c r="R37" i="46"/>
  <c r="R38" i="46"/>
  <c r="R42" i="4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Ali</author>
    <author xml:space="preserve"> Ali Cheraghi</author>
    <author>Ali Cheraghi</author>
  </authors>
  <commentList>
    <comment ref="M15" authorId="0" shapeId="0" xr:uid="{00000000-0006-0000-0300-000001000000}">
      <text>
        <r>
          <rPr>
            <b/>
            <sz val="9"/>
            <color indexed="81"/>
            <rFont val="Tahoma"/>
            <family val="2"/>
          </rPr>
          <t>Ali:</t>
        </r>
        <r>
          <rPr>
            <sz val="9"/>
            <color indexed="81"/>
            <rFont val="Tahoma"/>
            <family val="2"/>
          </rPr>
          <t xml:space="preserve">
Select Appropriate M.D.C. According to table</t>
        </r>
      </text>
    </comment>
    <comment ref="A19" authorId="0" shapeId="0" xr:uid="{00000000-0006-0000-0300-000002000000}">
      <text>
        <r>
          <rPr>
            <b/>
            <sz val="9"/>
            <color indexed="81"/>
            <rFont val="Tahoma"/>
            <family val="2"/>
          </rPr>
          <t>Ali:</t>
        </r>
        <r>
          <rPr>
            <sz val="9"/>
            <color indexed="81"/>
            <rFont val="Tahoma"/>
            <family val="2"/>
          </rPr>
          <t xml:space="preserve">
Manually Selected M.D.C. shall be equal or greater then Standard Recommandation</t>
        </r>
      </text>
    </comment>
    <comment ref="P26" authorId="0" shapeId="0" xr:uid="{00000000-0006-0000-0300-000003000000}">
      <text>
        <r>
          <rPr>
            <b/>
            <sz val="9"/>
            <color indexed="81"/>
            <rFont val="Tahoma"/>
            <family val="2"/>
          </rPr>
          <t>Ali:</t>
        </r>
        <r>
          <rPr>
            <sz val="9"/>
            <color indexed="81"/>
            <rFont val="Tahoma"/>
            <family val="2"/>
          </rPr>
          <t xml:space="preserve">
Higher agent concentration if the system discharges at Tmax</t>
        </r>
      </text>
    </comment>
    <comment ref="M28" authorId="0" shapeId="0" xr:uid="{00000000-0006-0000-0300-000004000000}">
      <text>
        <r>
          <rPr>
            <b/>
            <sz val="9"/>
            <color indexed="81"/>
            <rFont val="Tahoma"/>
            <family val="2"/>
          </rPr>
          <t>Ali:</t>
        </r>
        <r>
          <rPr>
            <sz val="9"/>
            <color indexed="81"/>
            <rFont val="Tahoma"/>
            <family val="2"/>
          </rPr>
          <t xml:space="preserve">
According to
NFPA 2001 (2015 Edition), Table A.5.5.1 (j)</t>
        </r>
      </text>
    </comment>
    <comment ref="E30" authorId="1" shapeId="0" xr:uid="{00000000-0006-0000-0300-000005000000}">
      <text>
        <r>
          <rPr>
            <sz val="10"/>
            <color indexed="81"/>
            <rFont val="Cambria"/>
            <family val="1"/>
            <scheme val="major"/>
          </rPr>
          <t>You can select 5 parts (hazard) for each sector that extinguish simultaneous (calculation will be perfored based on involved enclosure who that you selected): 
Expamle:</t>
        </r>
        <r>
          <rPr>
            <b/>
            <sz val="10"/>
            <color indexed="81"/>
            <rFont val="Cambria"/>
            <family val="1"/>
            <scheme val="major"/>
          </rPr>
          <t xml:space="preserve">
</t>
        </r>
        <r>
          <rPr>
            <sz val="10"/>
            <color indexed="81"/>
            <rFont val="Cambria"/>
            <family val="1"/>
            <scheme val="major"/>
          </rPr>
          <t>1-Main Area
2-Main Area &amp; Suspend Ceiling
3-Main Area &amp; Suspend Ceiling &amp; Rised Floor
4- Other Part
5- Other Part
for each part, you have to insert its data to corrected sheet.</t>
        </r>
      </text>
    </comment>
    <comment ref="L33" authorId="0" shapeId="0" xr:uid="{00000000-0006-0000-0300-000006000000}">
      <text>
        <r>
          <rPr>
            <b/>
            <sz val="9"/>
            <color indexed="81"/>
            <rFont val="Tahoma"/>
            <family val="2"/>
          </rPr>
          <t>Ali:</t>
        </r>
        <r>
          <rPr>
            <sz val="9"/>
            <color indexed="81"/>
            <rFont val="Tahoma"/>
            <family val="2"/>
          </rPr>
          <t xml:space="preserve">
Volume of Fixed parts (such as fixed structure or fixed Non-permeable equipment) inside protected area can be deduce from total hazard volume </t>
        </r>
      </text>
    </comment>
    <comment ref="O33" authorId="0" shapeId="0" xr:uid="{00000000-0006-0000-0300-000007000000}">
      <text>
        <r>
          <rPr>
            <b/>
            <sz val="9"/>
            <color indexed="81"/>
            <rFont val="Tahoma"/>
            <family val="2"/>
          </rPr>
          <t>Ali:</t>
        </r>
        <r>
          <rPr>
            <sz val="9"/>
            <color indexed="81"/>
            <rFont val="Tahoma"/>
            <family val="2"/>
          </rPr>
          <t xml:space="preserve">
NFPA 2001 (2015 Edition), 5.5 Total Flooding Quantity</t>
        </r>
      </text>
    </comment>
    <comment ref="P33" authorId="0" shapeId="0" xr:uid="{00000000-0006-0000-0300-000008000000}">
      <text>
        <r>
          <rPr>
            <b/>
            <sz val="9"/>
            <color indexed="81"/>
            <rFont val="Tahoma"/>
            <family val="2"/>
          </rPr>
          <t>Ali:</t>
        </r>
        <r>
          <rPr>
            <sz val="9"/>
            <color indexed="81"/>
            <rFont val="Tahoma"/>
            <family val="2"/>
          </rPr>
          <t xml:space="preserve">
Total Agent Required for each hazard</t>
        </r>
      </text>
    </comment>
    <comment ref="R33" authorId="0" shapeId="0" xr:uid="{00000000-0006-0000-0300-000009000000}">
      <text>
        <r>
          <rPr>
            <b/>
            <sz val="9"/>
            <color indexed="81"/>
            <rFont val="Tahoma"/>
            <family val="2"/>
          </rPr>
          <t>Ali:</t>
        </r>
        <r>
          <rPr>
            <sz val="9"/>
            <color indexed="81"/>
            <rFont val="Tahoma"/>
            <family val="2"/>
          </rPr>
          <t xml:space="preserve">
NFPA 2001 (2015 Edition), Table A.5.5.1 (j)
ONLY for INFORMATIOM</t>
        </r>
      </text>
    </comment>
    <comment ref="U33" authorId="0" shapeId="0" xr:uid="{00000000-0006-0000-0300-00000A000000}">
      <text>
        <r>
          <rPr>
            <b/>
            <sz val="9"/>
            <color indexed="81"/>
            <rFont val="Tahoma"/>
            <family val="2"/>
          </rPr>
          <t>Ali:</t>
        </r>
        <r>
          <rPr>
            <sz val="9"/>
            <color indexed="81"/>
            <rFont val="Tahoma"/>
            <family val="2"/>
          </rPr>
          <t xml:space="preserve">
NFPA 2001 (2015 Edition), 5.5 Total Flooding Quantity</t>
        </r>
      </text>
    </comment>
    <comment ref="A46" authorId="0" shapeId="0" xr:uid="{00000000-0006-0000-0300-00000B000000}">
      <text>
        <r>
          <rPr>
            <b/>
            <sz val="9"/>
            <color indexed="81"/>
            <rFont val="Tahoma"/>
            <family val="2"/>
          </rPr>
          <t>Ali:</t>
        </r>
        <r>
          <rPr>
            <sz val="9"/>
            <color indexed="81"/>
            <rFont val="Tahoma"/>
            <family val="2"/>
          </rPr>
          <t xml:space="preserve">
NFPA2001 (2015 Edition), Table 5.5.3.3
Design Factor for Enclosure Pressure. The design quantity of the clean agent shall be adjusted to compensate for ambient pressures that vary more than 11 percent [equivalent to approximately 3000 ft (915 m) of elevation change] from standard sea level pressures</t>
        </r>
      </text>
    </comment>
    <comment ref="A53" authorId="2" shapeId="0" xr:uid="{00000000-0006-0000-0300-00000C000000}">
      <text>
        <r>
          <rPr>
            <b/>
            <sz val="9"/>
            <color indexed="81"/>
            <rFont val="Tahoma"/>
            <family val="2"/>
          </rPr>
          <t>Ali Cheraghi:</t>
        </r>
        <r>
          <rPr>
            <sz val="9"/>
            <color indexed="81"/>
            <rFont val="Tahoma"/>
            <family val="2"/>
          </rPr>
          <t xml:space="preserve">
Agent weight must be rounded </t>
        </r>
        <r>
          <rPr>
            <b/>
            <sz val="9"/>
            <color indexed="81"/>
            <rFont val="Cambria"/>
            <family val="1"/>
            <scheme val="major"/>
          </rPr>
          <t>UP</t>
        </r>
        <r>
          <rPr>
            <sz val="9"/>
            <color indexed="81"/>
            <rFont val="Tahoma"/>
            <family val="2"/>
          </rPr>
          <t xml:space="preserve">
to a correct value</t>
        </r>
      </text>
    </comment>
    <comment ref="A65" authorId="2" shapeId="0" xr:uid="{00000000-0006-0000-0300-00000D000000}">
      <text>
        <r>
          <rPr>
            <b/>
            <sz val="9"/>
            <color indexed="81"/>
            <rFont val="Tahoma"/>
            <family val="2"/>
          </rPr>
          <t>Ali Cheraghi:</t>
        </r>
        <r>
          <rPr>
            <sz val="9"/>
            <color indexed="81"/>
            <rFont val="Tahoma"/>
            <family val="2"/>
          </rPr>
          <t xml:space="preserve">
</t>
        </r>
        <r>
          <rPr>
            <b/>
            <sz val="9"/>
            <color indexed="81"/>
            <rFont val="Cambria"/>
            <family val="1"/>
            <scheme val="major"/>
          </rPr>
          <t>THORN</t>
        </r>
        <r>
          <rPr>
            <sz val="9"/>
            <color indexed="81"/>
            <rFont val="Tahoma"/>
            <family val="2"/>
          </rPr>
          <t xml:space="preserve"> product is </t>
        </r>
        <r>
          <rPr>
            <b/>
            <sz val="9"/>
            <color indexed="81"/>
            <rFont val="Cambria"/>
            <family val="1"/>
            <scheme val="major"/>
          </rPr>
          <t>Low</t>
        </r>
        <r>
          <rPr>
            <sz val="9"/>
            <color indexed="81"/>
            <rFont val="Tahoma"/>
            <family val="2"/>
          </rPr>
          <t xml:space="preserve"> Pressure System
</t>
        </r>
        <r>
          <rPr>
            <b/>
            <sz val="9"/>
            <color indexed="81"/>
            <rFont val="Cambria"/>
            <family val="1"/>
            <scheme val="major"/>
          </rPr>
          <t>LPG</t>
        </r>
        <r>
          <rPr>
            <sz val="9"/>
            <color indexed="81"/>
            <rFont val="Tahoma"/>
            <family val="2"/>
          </rPr>
          <t xml:space="preserve"> product is </t>
        </r>
        <r>
          <rPr>
            <b/>
            <sz val="9"/>
            <color indexed="81"/>
            <rFont val="Cambria"/>
            <family val="1"/>
            <scheme val="major"/>
          </rPr>
          <t>High</t>
        </r>
        <r>
          <rPr>
            <sz val="9"/>
            <color indexed="81"/>
            <rFont val="Tahoma"/>
            <family val="2"/>
          </rPr>
          <t xml:space="preserve"> Pressure System</t>
        </r>
      </text>
    </comment>
    <comment ref="A66" authorId="2" shapeId="0" xr:uid="{00000000-0006-0000-0300-00000E000000}">
      <text>
        <r>
          <rPr>
            <b/>
            <sz val="9"/>
            <color indexed="81"/>
            <rFont val="Tahoma"/>
            <family val="2"/>
          </rPr>
          <t>Ali Cheraghi:</t>
        </r>
        <r>
          <rPr>
            <sz val="9"/>
            <color indexed="81"/>
            <rFont val="Tahoma"/>
            <family val="2"/>
          </rPr>
          <t xml:space="preserve">
CylinderVolume must be selected Manually According to Agent Volume &amp; Supplier 
Please Pay Attention to </t>
        </r>
        <r>
          <rPr>
            <b/>
            <sz val="9"/>
            <color indexed="81"/>
            <rFont val="Cambria"/>
            <family val="1"/>
            <scheme val="major"/>
          </rPr>
          <t>Minimum &amp; Maximum Filling</t>
        </r>
        <r>
          <rPr>
            <sz val="9"/>
            <color indexed="81"/>
            <rFont val="Tahoma"/>
            <family val="2"/>
          </rPr>
          <t xml:space="preserve"> of each container</t>
        </r>
      </text>
    </comment>
    <comment ref="A67" authorId="2" shapeId="0" xr:uid="{00000000-0006-0000-0300-00000F000000}">
      <text>
        <r>
          <rPr>
            <b/>
            <sz val="9"/>
            <color indexed="81"/>
            <rFont val="Tahoma"/>
            <family val="2"/>
          </rPr>
          <t>Ali Cheraghi:</t>
        </r>
        <r>
          <rPr>
            <sz val="9"/>
            <color indexed="81"/>
            <rFont val="Tahoma"/>
            <family val="2"/>
          </rPr>
          <t xml:space="preserve">
Select Number of Cylinder Required for the Volume of Gas Specified</t>
        </r>
      </text>
    </comment>
  </commentList>
</comments>
</file>

<file path=xl/sharedStrings.xml><?xml version="1.0" encoding="utf-8"?>
<sst xmlns="http://schemas.openxmlformats.org/spreadsheetml/2006/main" count="858" uniqueCount="545">
  <si>
    <t>Width</t>
  </si>
  <si>
    <t>Height</t>
  </si>
  <si>
    <t>Kg</t>
  </si>
  <si>
    <t>Acetylene</t>
  </si>
  <si>
    <t>Acetone</t>
  </si>
  <si>
    <t>Ethane</t>
  </si>
  <si>
    <t>Ethylene</t>
  </si>
  <si>
    <t>Hydrogen</t>
  </si>
  <si>
    <t>Kerosene</t>
  </si>
  <si>
    <t>Methane</t>
  </si>
  <si>
    <t>Propane</t>
  </si>
  <si>
    <t>m</t>
  </si>
  <si>
    <t>Back</t>
  </si>
  <si>
    <t>Length</t>
  </si>
  <si>
    <t>%</t>
  </si>
  <si>
    <t>Diethyl Ether</t>
  </si>
  <si>
    <t>Gasoline</t>
  </si>
  <si>
    <t>Methyl Ethyl Ketone</t>
  </si>
  <si>
    <t>Propylene</t>
  </si>
  <si>
    <t>ft</t>
  </si>
  <si>
    <t>Convert</t>
  </si>
  <si>
    <t>Please Enter Opening centered from below ceiling</t>
  </si>
  <si>
    <t>Please Enter Leakage Rate</t>
  </si>
  <si>
    <t xml:space="preserve">                      NOOR  NEDA  System  Co.</t>
  </si>
  <si>
    <t xml:space="preserve">                        NOOR  NEDA  System  Co.</t>
  </si>
  <si>
    <r>
      <t>kg/min·m</t>
    </r>
    <r>
      <rPr>
        <b/>
        <vertAlign val="superscript"/>
        <sz val="8"/>
        <rFont val="Arial"/>
        <family val="2"/>
      </rPr>
      <t>2</t>
    </r>
  </si>
  <si>
    <r>
      <t>Lb/min·ft</t>
    </r>
    <r>
      <rPr>
        <b/>
        <vertAlign val="superscript"/>
        <sz val="8"/>
        <rFont val="Arial"/>
        <family val="2"/>
      </rPr>
      <t>2</t>
    </r>
  </si>
  <si>
    <t>Number of Container requierd</t>
  </si>
  <si>
    <t>Insert  Data</t>
  </si>
  <si>
    <t>Boundary Area</t>
  </si>
  <si>
    <t>Flow rate / Nozzle</t>
  </si>
  <si>
    <t>System Flow rate</t>
  </si>
  <si>
    <t>Kg/min</t>
  </si>
  <si>
    <t>Design Concentration</t>
  </si>
  <si>
    <t>Go to Surface Fire</t>
  </si>
  <si>
    <t>Go to Deep seated Fire</t>
  </si>
  <si>
    <t>Surface Fire</t>
  </si>
  <si>
    <t>Deep Seated Fire</t>
  </si>
  <si>
    <t>Total quantity of FM 200 required</t>
  </si>
  <si>
    <t>FM-200 extinguishes by causing a chemical reaction with the combustion products, and does not remove oxygen like CO2 and other inert agents. Therefore, exposure to FM-200 at the design concentration of 7.17%, and up to 9.0%, is not hazardous to health. FM-200 can decompose at high temperatures to form halogen acids.</t>
  </si>
  <si>
    <t>FM-200 (HFC-227ea) is a clean, gaseous agent containing no particles or oily residues.</t>
  </si>
  <si>
    <t>FM-200 is thermally and chemically stable, but with-out the extremely long atmospheric lifetimes associated with other proposed halon replacements. The atmospheric lifetime of FM-200 has been determined to be 36.5 years (Reference GLCC).</t>
  </si>
  <si>
    <t>Agent Physical Properties</t>
  </si>
  <si>
    <t>HFC-227ea</t>
  </si>
  <si>
    <t>Chemical structure</t>
  </si>
  <si>
    <t>Chemical name</t>
  </si>
  <si>
    <t>Molecular weight</t>
  </si>
  <si>
    <t>Boiling point</t>
  </si>
  <si>
    <t>Freezing point</t>
  </si>
  <si>
    <t>Critical temperature</t>
  </si>
  <si>
    <t>Critical pressure</t>
  </si>
  <si>
    <t>Critical volume</t>
  </si>
  <si>
    <t>Critical density</t>
  </si>
  <si>
    <t>(Reference:NFPA 2001,2000 edition)</t>
  </si>
  <si>
    <t>CF3CHFCF3</t>
  </si>
  <si>
    <t>Heptafluoropropan</t>
  </si>
  <si>
    <t>101.7ºC (214ºF)</t>
  </si>
  <si>
    <t>2912 kPa (422 psi)</t>
  </si>
  <si>
    <t>274 cc/mole (.0258cu Ft./lb.)</t>
  </si>
  <si>
    <t>621 kg /m3 (38.76 lb./Ft 3)</t>
  </si>
  <si>
    <t>31.18 k /m 3 (1.95 lb./ft 3)</t>
  </si>
  <si>
    <t>-16.4 0ºC (1.9ºF)</t>
  </si>
  <si>
    <t>-131.1ºC (-204ºF)</t>
  </si>
  <si>
    <t>N2</t>
  </si>
  <si>
    <t>Nitrogen</t>
  </si>
  <si>
    <t>28.0</t>
  </si>
  <si>
    <t>-195.8ºC (-320.4ºF)</t>
  </si>
  <si>
    <t>-210.0ºC (-346ºF)</t>
  </si>
  <si>
    <t>-146.9ºC (-232.4ºF)</t>
  </si>
  <si>
    <t>3399 kPa (492.9 psi)</t>
  </si>
  <si>
    <t>Toxicology/Environmental</t>
  </si>
  <si>
    <t>Environmental</t>
  </si>
  <si>
    <t>Ozone Depletion (ODP)</t>
  </si>
  <si>
    <t>Atmospheric Lifetime (yrs)
(Reference:Great Lakes Chemical Corporation)</t>
  </si>
  <si>
    <t>Toxicology</t>
  </si>
  <si>
    <t>Acute Exposure LC (ppm)</t>
  </si>
  <si>
    <t>Cardiac Sensitization</t>
  </si>
  <si>
    <t>No Observed Adverse Effect Level (NOAEL)</t>
  </si>
  <si>
    <t>Lowest Observed Adverse Effect Level (LOAEL)
(Reference: NFPA 2001,2000 edition)</t>
  </si>
  <si>
    <t>&gt;800,000</t>
  </si>
  <si>
    <t>9%</t>
  </si>
  <si>
    <t>&gt;10.5%</t>
  </si>
  <si>
    <t>Minimum FM 200 Design Concentration</t>
  </si>
  <si>
    <t>FUEL</t>
  </si>
  <si>
    <r>
      <t xml:space="preserve">Minimum Design </t>
    </r>
    <r>
      <rPr>
        <b/>
        <sz val="10"/>
        <rFont val="Arial"/>
        <family val="2"/>
      </rPr>
      <t>Concentration ( % )</t>
    </r>
  </si>
  <si>
    <t>Acetonitrile</t>
  </si>
  <si>
    <t>t-Amyl Alcohol</t>
  </si>
  <si>
    <t>AV Gas</t>
  </si>
  <si>
    <t>Benzene</t>
  </si>
  <si>
    <t>n-Butane</t>
  </si>
  <si>
    <t>n-Butanol</t>
  </si>
  <si>
    <t>2-Butoxyethanol</t>
  </si>
  <si>
    <t>2-Butoxyethyl Acetate</t>
  </si>
  <si>
    <t>n-Butyl Acetate</t>
  </si>
  <si>
    <t>Carbon disulphide</t>
  </si>
  <si>
    <t>Chloroethane</t>
  </si>
  <si>
    <t>Crude Oil</t>
  </si>
  <si>
    <t>Cyclohexane</t>
  </si>
  <si>
    <t>Cyclohexylamine</t>
  </si>
  <si>
    <t>Cyclopentanone</t>
  </si>
  <si>
    <t>1,2-Dichloroethane</t>
  </si>
  <si>
    <t>Diesel</t>
  </si>
  <si>
    <t>N,N-Diethylanolamine</t>
  </si>
  <si>
    <t>Ethanol</t>
  </si>
  <si>
    <t>Ethyl Acetate</t>
  </si>
  <si>
    <t>Ethyl Benzene</t>
  </si>
  <si>
    <t>Ethylene Glycol</t>
  </si>
  <si>
    <t>n-Heptane</t>
  </si>
  <si>
    <t>n-Hexane</t>
  </si>
  <si>
    <t>l-Hexene</t>
  </si>
  <si>
    <t>Hydraulic Fluid</t>
  </si>
  <si>
    <t>Hydraulic Oil</t>
  </si>
  <si>
    <t>Isobutyl Alcohol</t>
  </si>
  <si>
    <t>Isopropanol</t>
  </si>
  <si>
    <t>JP4</t>
  </si>
  <si>
    <t>JP5</t>
  </si>
  <si>
    <t>Methanol</t>
  </si>
  <si>
    <t>2,Methoxyethanol</t>
  </si>
  <si>
    <t>Methyl Isobutyl Ketone</t>
  </si>
  <si>
    <t>Mineral Spirits</t>
  </si>
  <si>
    <t>Morpholine</t>
  </si>
  <si>
    <t>Nitromethane</t>
  </si>
  <si>
    <t>n-Pentane</t>
  </si>
  <si>
    <t>l-Propanol</t>
  </si>
  <si>
    <t>Propylene Glycol</t>
  </si>
  <si>
    <t>Pyrrolidine</t>
  </si>
  <si>
    <t>Tetrahydrofuran</t>
  </si>
  <si>
    <t>Tetrahydrothiophene</t>
  </si>
  <si>
    <t>Toluene</t>
  </si>
  <si>
    <t>Tolylene-2,4-diisocyanat</t>
  </si>
  <si>
    <t>Transformer Oil</t>
  </si>
  <si>
    <t>Xylene</t>
  </si>
  <si>
    <t>Heptane</t>
  </si>
  <si>
    <t>Pyrrollidine</t>
  </si>
  <si>
    <t>Design Temperature of Hazard Area (t)</t>
  </si>
  <si>
    <t>Agent Weight Requirements (kg/cu.m)</t>
  </si>
  <si>
    <t>Altitude Correction Factors</t>
  </si>
  <si>
    <t>Correction Factor</t>
  </si>
  <si>
    <t>SEA  LEVEL</t>
  </si>
  <si>
    <t>Specific Vapour Volume</t>
  </si>
  <si>
    <t>go to TOTAL</t>
  </si>
  <si>
    <t>Physical State</t>
  </si>
  <si>
    <t>Liquefied Compressed Gas</t>
  </si>
  <si>
    <t>Colour</t>
  </si>
  <si>
    <t>Colourless</t>
  </si>
  <si>
    <t>Odour</t>
  </si>
  <si>
    <t>Odourless</t>
  </si>
  <si>
    <t>Vapour Pressure</t>
  </si>
  <si>
    <t>58.8 psia at 21°C</t>
  </si>
  <si>
    <t>Specific Gravity</t>
  </si>
  <si>
    <t>1.48</t>
  </si>
  <si>
    <t>Solubility</t>
  </si>
  <si>
    <t>Not available</t>
  </si>
  <si>
    <t>Not Applicable</t>
  </si>
  <si>
    <t>pH</t>
  </si>
  <si>
    <t>Viscosity</t>
  </si>
  <si>
    <t>Vapour Density</t>
  </si>
  <si>
    <t>Not Available</t>
  </si>
  <si>
    <t>Flash Point</t>
  </si>
  <si>
    <t>None</t>
  </si>
  <si>
    <t>Flammable Limits</t>
  </si>
  <si>
    <t>Autoignition Temperature</t>
  </si>
  <si>
    <t xml:space="preserve">                         NOOR  NEDA  System  Co.</t>
  </si>
  <si>
    <t>8 Litre</t>
  </si>
  <si>
    <t>16 Litre</t>
  </si>
  <si>
    <t>32 Litre</t>
  </si>
  <si>
    <t>40 Litre</t>
  </si>
  <si>
    <t>80 Litre</t>
  </si>
  <si>
    <t>52 Litre</t>
  </si>
  <si>
    <t>67 Litre</t>
  </si>
  <si>
    <t>106 Litre</t>
  </si>
  <si>
    <t>147 Litre</t>
  </si>
  <si>
    <t>180 Litre</t>
  </si>
  <si>
    <t>343 Litre</t>
  </si>
  <si>
    <t>303.205.015</t>
  </si>
  <si>
    <t>303.205.016</t>
  </si>
  <si>
    <t>303.205.017</t>
  </si>
  <si>
    <t>303.205.030</t>
  </si>
  <si>
    <t>303.205.018</t>
  </si>
  <si>
    <t>303.205.031</t>
  </si>
  <si>
    <t>303.205.032</t>
  </si>
  <si>
    <t>303.205.019</t>
  </si>
  <si>
    <t>303.205.020</t>
  </si>
  <si>
    <t>303.205.021</t>
  </si>
  <si>
    <t>303.205.022</t>
  </si>
  <si>
    <t>Nominal Size</t>
  </si>
  <si>
    <t>Lbs</t>
  </si>
  <si>
    <t>4.5 to 8.0</t>
  </si>
  <si>
    <t>9.0 to 17.5</t>
  </si>
  <si>
    <t>17.0 to 33.5</t>
  </si>
  <si>
    <t>22.0 to 43.0</t>
  </si>
  <si>
    <t>27.0 to 53.0</t>
  </si>
  <si>
    <t>33.5 to 66.5</t>
  </si>
  <si>
    <t>14.0 to 81.5</t>
  </si>
  <si>
    <t>53.5 to 106.5</t>
  </si>
  <si>
    <t>74.0 to 147.5</t>
  </si>
  <si>
    <t>91.5 to 182.0</t>
  </si>
  <si>
    <t>172 to 343</t>
  </si>
  <si>
    <t>10 to 18</t>
  </si>
  <si>
    <t>20 to 39</t>
  </si>
  <si>
    <t>38 to 74</t>
  </si>
  <si>
    <t>48 to 95</t>
  </si>
  <si>
    <t>59 to 117</t>
  </si>
  <si>
    <t>74 to 147</t>
  </si>
  <si>
    <t>91 to 180</t>
  </si>
  <si>
    <t>118 to 235</t>
  </si>
  <si>
    <t>163 to 325</t>
  </si>
  <si>
    <t>201 to 401</t>
  </si>
  <si>
    <t>379 to 757</t>
  </si>
  <si>
    <t>Nom. Volume</t>
  </si>
  <si>
    <t>Outlet Size</t>
  </si>
  <si>
    <t>mm</t>
  </si>
  <si>
    <t>Dimension A</t>
  </si>
  <si>
    <t>Diameter</t>
  </si>
  <si>
    <t>Empty Weight</t>
  </si>
  <si>
    <t>Part Number</t>
  </si>
  <si>
    <t>Material:</t>
  </si>
  <si>
    <t>FM-200® Container</t>
  </si>
  <si>
    <t xml:space="preserve">                 NOOR  NEDA  System  Co.</t>
  </si>
  <si>
    <t xml:space="preserve">                  NOOR  NEDA  System  Co.</t>
  </si>
  <si>
    <t>Discharge Nozzle</t>
  </si>
  <si>
    <t>Nozzles are available with seven or eight ports to allow for 180° or 360° horizontal discharge patterns. Ports are drilled in 0.1mm (0.004 in) increments to the specified  System design.</t>
  </si>
  <si>
    <t>310.205.028.TU</t>
  </si>
  <si>
    <t>310.205.029.TU</t>
  </si>
  <si>
    <t>310.205.030.TU</t>
  </si>
  <si>
    <t>310.205.031.TU</t>
  </si>
  <si>
    <t>310.205.032.TU</t>
  </si>
  <si>
    <t>310.205.033.TU</t>
  </si>
  <si>
    <t>310.205.034.TU</t>
  </si>
  <si>
    <t>10mm (3/8") BSP Nozzle</t>
  </si>
  <si>
    <t>15mm (1/2") BSP Nozzle</t>
  </si>
  <si>
    <t>20mm (3/4") BPS Nozzle</t>
  </si>
  <si>
    <t>25mm (1") BSP Nozzle</t>
  </si>
  <si>
    <t>32mm (1 1/4") BSP Nozzle</t>
  </si>
  <si>
    <t>40mm (1 1/2") BSP Nozzle</t>
  </si>
  <si>
    <t>50mm (2") BSP Nozzle</t>
  </si>
  <si>
    <t>Brass/Stainless Steel</t>
  </si>
  <si>
    <t>go to NOZZEL</t>
  </si>
  <si>
    <t>go to FM 200 Calculation</t>
  </si>
  <si>
    <r>
      <t>Specific Vapour Volume of FM200 at Design Temp. (s)  m</t>
    </r>
    <r>
      <rPr>
        <b/>
        <vertAlign val="superscript"/>
        <sz val="10"/>
        <rFont val="Arial"/>
        <family val="2"/>
      </rPr>
      <t>3</t>
    </r>
    <r>
      <rPr>
        <b/>
        <sz val="10"/>
        <rFont val="Arial"/>
        <family val="2"/>
      </rPr>
      <t>/Kg</t>
    </r>
  </si>
  <si>
    <t>Km</t>
  </si>
  <si>
    <t>Equivalent Altitude</t>
  </si>
  <si>
    <t>Foots</t>
  </si>
  <si>
    <t>FM 200 Fire Suppression System</t>
  </si>
  <si>
    <t>Mr.</t>
  </si>
  <si>
    <t>Max. Flow Rate</t>
  </si>
  <si>
    <t>Min. Flow Rate</t>
  </si>
  <si>
    <t>Estimating of Pipe Size</t>
  </si>
  <si>
    <t>Max. &amp; Min. Flow Rates.</t>
  </si>
  <si>
    <t xml:space="preserve">Pipe Size  </t>
  </si>
  <si>
    <t xml:space="preserve">Minimum flow rate </t>
  </si>
  <si>
    <t xml:space="preserve">Maximum flow rate </t>
  </si>
  <si>
    <t>inch</t>
  </si>
  <si>
    <t>kg/sec.</t>
  </si>
  <si>
    <t>10</t>
  </si>
  <si>
    <t>3/8</t>
  </si>
  <si>
    <t>15</t>
  </si>
  <si>
    <t>1/2</t>
  </si>
  <si>
    <t>20</t>
  </si>
  <si>
    <t>3/4</t>
  </si>
  <si>
    <t>25</t>
  </si>
  <si>
    <t>32</t>
  </si>
  <si>
    <t>1 1/4</t>
  </si>
  <si>
    <t>40</t>
  </si>
  <si>
    <t>1 1/2</t>
  </si>
  <si>
    <t>50</t>
  </si>
  <si>
    <t>65</t>
  </si>
  <si>
    <t>2 1/2</t>
  </si>
  <si>
    <t>80</t>
  </si>
  <si>
    <t>100</t>
  </si>
  <si>
    <t>125</t>
  </si>
  <si>
    <t>150</t>
  </si>
  <si>
    <t xml:space="preserve">
Pipe and nozzle sizes need to be confirmed by the computer program.</t>
  </si>
  <si>
    <t>Note: This information is for Schedule 40 pipe, and serves as an estimate only.</t>
  </si>
  <si>
    <t>Min. Flow Rate per Nozzle</t>
  </si>
  <si>
    <t>Kg/Sec</t>
  </si>
  <si>
    <t>Set Agent weight to</t>
  </si>
  <si>
    <t>Total Flooding method</t>
  </si>
  <si>
    <t>Client</t>
  </si>
  <si>
    <t>Tel :</t>
  </si>
  <si>
    <t>Fax :</t>
  </si>
  <si>
    <t>Calculated Agent weight</t>
  </si>
  <si>
    <t>Address :</t>
  </si>
  <si>
    <t>Contact :</t>
  </si>
  <si>
    <t>Title :</t>
  </si>
  <si>
    <t>Contractor :</t>
  </si>
  <si>
    <t>Project Name :</t>
  </si>
  <si>
    <t>DATE :</t>
  </si>
  <si>
    <t>Discharge Time is between 6 to 10 Seconds</t>
  </si>
  <si>
    <t>Saturated vapour density @20oC (68 o F)</t>
  </si>
  <si>
    <t>Saturated vapour density @20o C (68 o F)</t>
  </si>
  <si>
    <r>
      <t>m</t>
    </r>
    <r>
      <rPr>
        <vertAlign val="superscript"/>
        <sz val="9"/>
        <rFont val="Cambria"/>
        <family val="1"/>
        <scheme val="major"/>
      </rPr>
      <t>3</t>
    </r>
    <r>
      <rPr>
        <sz val="9"/>
        <rFont val="Cambria"/>
        <family val="1"/>
        <scheme val="major"/>
      </rPr>
      <t>/kg</t>
    </r>
  </si>
  <si>
    <r>
      <rPr>
        <sz val="10"/>
        <rFont val="Cambria"/>
        <family val="1"/>
      </rPr>
      <t>°</t>
    </r>
    <r>
      <rPr>
        <sz val="10"/>
        <rFont val="Cambria"/>
        <family val="1"/>
        <scheme val="major"/>
      </rPr>
      <t>c</t>
    </r>
  </si>
  <si>
    <t>Number of Enclosures</t>
  </si>
  <si>
    <t>1389/10/10</t>
  </si>
  <si>
    <t>ISO</t>
  </si>
  <si>
    <t>NFPA</t>
  </si>
  <si>
    <t>FM</t>
  </si>
  <si>
    <t>Vds</t>
  </si>
  <si>
    <t>FM-200 Fire Suppression System</t>
  </si>
  <si>
    <t>liter</t>
  </si>
  <si>
    <t>Liter</t>
  </si>
  <si>
    <t>Minimum &amp; Maximum Filling</t>
  </si>
  <si>
    <t>(Lbs.)</t>
  </si>
  <si>
    <t>In</t>
  </si>
  <si>
    <t>Ibs</t>
  </si>
  <si>
    <t>5 to 10</t>
  </si>
  <si>
    <t>1"</t>
  </si>
  <si>
    <t>11"</t>
  </si>
  <si>
    <t>7"</t>
  </si>
  <si>
    <t>12"</t>
  </si>
  <si>
    <t>10"</t>
  </si>
  <si>
    <t>19.8"</t>
  </si>
  <si>
    <t>32.8"</t>
  </si>
  <si>
    <t>2"</t>
  </si>
  <si>
    <t>53.2"</t>
  </si>
  <si>
    <t>9"</t>
  </si>
  <si>
    <t>23.5"</t>
  </si>
  <si>
    <t>16"</t>
  </si>
  <si>
    <t>60"</t>
  </si>
  <si>
    <t>10.4"</t>
  </si>
  <si>
    <t>66.3"</t>
  </si>
  <si>
    <t>40.2"</t>
  </si>
  <si>
    <t>53.3"</t>
  </si>
  <si>
    <t>64.3"</t>
  </si>
  <si>
    <t>3.5"</t>
  </si>
  <si>
    <t>24"</t>
  </si>
  <si>
    <t>4.5 liter</t>
  </si>
  <si>
    <t>8 liter</t>
  </si>
  <si>
    <t>16 liter</t>
  </si>
  <si>
    <t>32 liter</t>
  </si>
  <si>
    <t>52 liter</t>
  </si>
  <si>
    <t>106liter</t>
  </si>
  <si>
    <t>147liter</t>
  </si>
  <si>
    <t>180liter</t>
  </si>
  <si>
    <t>303.205.025</t>
  </si>
  <si>
    <t>40 liter *</t>
  </si>
  <si>
    <t>80 liter *</t>
  </si>
  <si>
    <t>UL/FM Approved</t>
  </si>
  <si>
    <t>Cylinder</t>
  </si>
  <si>
    <t>Pressure</t>
  </si>
  <si>
    <t>Construction</t>
  </si>
  <si>
    <t>Valve</t>
  </si>
  <si>
    <t>Pressure Gauge Rated</t>
  </si>
  <si>
    <t>Outlet</t>
  </si>
  <si>
    <t>Safety Disk</t>
  </si>
  <si>
    <t>Cylinder Length</t>
  </si>
  <si>
    <t>Valve Length</t>
  </si>
  <si>
    <t>bar</t>
  </si>
  <si>
    <t>kg</t>
  </si>
  <si>
    <t>25 bar</t>
  </si>
  <si>
    <t>(60bar T.P)</t>
  </si>
  <si>
    <t>Welded</t>
  </si>
  <si>
    <t>LPG-230</t>
  </si>
  <si>
    <t>1625±10</t>
  </si>
  <si>
    <t>1220±10</t>
  </si>
  <si>
    <t>1273±10</t>
  </si>
  <si>
    <t>Seamless</t>
  </si>
  <si>
    <t>0-69 bar</t>
  </si>
  <si>
    <t>60±3bar</t>
  </si>
  <si>
    <t>1470±20</t>
  </si>
  <si>
    <t>0-103 bar</t>
  </si>
  <si>
    <t>95±7bar</t>
  </si>
  <si>
    <t>1314±20</t>
  </si>
  <si>
    <t>1½"
(40mm)</t>
  </si>
  <si>
    <t>2½"
(65mm)</t>
  </si>
  <si>
    <t>1"
(25mm)</t>
  </si>
  <si>
    <t>¾"
(20mm)</t>
  </si>
  <si>
    <t>25 bar 
42 bar
(250bar T.P)</t>
  </si>
  <si>
    <r>
      <t xml:space="preserve">180
</t>
    </r>
    <r>
      <rPr>
        <sz val="10"/>
        <rFont val="Cambria"/>
        <family val="1"/>
        <scheme val="major"/>
      </rPr>
      <t>(LPG190)</t>
    </r>
  </si>
  <si>
    <r>
      <t xml:space="preserve">165
</t>
    </r>
    <r>
      <rPr>
        <sz val="10"/>
        <rFont val="Cambria"/>
        <family val="1"/>
        <scheme val="major"/>
      </rPr>
      <t>(LPG145)</t>
    </r>
  </si>
  <si>
    <r>
      <t xml:space="preserve">148
</t>
    </r>
    <r>
      <rPr>
        <sz val="10"/>
        <rFont val="Cambria"/>
        <family val="1"/>
        <scheme val="major"/>
      </rPr>
      <t>(LPG128)</t>
    </r>
  </si>
  <si>
    <r>
      <t xml:space="preserve">308
</t>
    </r>
    <r>
      <rPr>
        <sz val="10"/>
        <rFont val="Cambria"/>
        <family val="1"/>
        <scheme val="major"/>
      </rPr>
      <t>(LP-230)</t>
    </r>
  </si>
  <si>
    <t xml:space="preserve">    Kg</t>
  </si>
  <si>
    <t>Nominal Volume</t>
  </si>
  <si>
    <t>THORN</t>
  </si>
  <si>
    <t>LPG</t>
  </si>
  <si>
    <t>Number of Cylinder</t>
  </si>
  <si>
    <t>Cylinder Part Number</t>
  </si>
  <si>
    <t>343liter*</t>
  </si>
  <si>
    <t>* UL Listed Systems Only (Not FM Approved) - NOT Supply</t>
  </si>
  <si>
    <t>THORN Part Number</t>
  </si>
  <si>
    <t>LPG Part Number</t>
  </si>
  <si>
    <r>
      <t xml:space="preserve">LPG 190-50
</t>
    </r>
    <r>
      <rPr>
        <sz val="10"/>
        <color rgb="FF000000"/>
        <rFont val="Cambria"/>
        <family val="1"/>
        <scheme val="major"/>
      </rPr>
      <t>(HP 42 bar)</t>
    </r>
  </si>
  <si>
    <r>
      <t xml:space="preserve">LPG 190-55
</t>
    </r>
    <r>
      <rPr>
        <sz val="10"/>
        <color rgb="FF000000"/>
        <rFont val="Cambria"/>
        <family val="1"/>
        <scheme val="major"/>
      </rPr>
      <t>(LP 25 bar)</t>
    </r>
  </si>
  <si>
    <r>
      <t xml:space="preserve">LPG 128-55
</t>
    </r>
    <r>
      <rPr>
        <sz val="10"/>
        <color rgb="FF000000"/>
        <rFont val="Cambria"/>
        <family val="1"/>
        <scheme val="major"/>
      </rPr>
      <t>(LP 25 bar)</t>
    </r>
  </si>
  <si>
    <r>
      <t xml:space="preserve">LPG 128-50
</t>
    </r>
    <r>
      <rPr>
        <sz val="10"/>
        <color rgb="FF000000"/>
        <rFont val="Cambria"/>
        <family val="1"/>
        <scheme val="major"/>
      </rPr>
      <t>(HP 42 bar)</t>
    </r>
  </si>
  <si>
    <r>
      <t xml:space="preserve">LPG 145-55
</t>
    </r>
    <r>
      <rPr>
        <sz val="10"/>
        <color rgb="FF000000"/>
        <rFont val="Cambria"/>
        <family val="1"/>
        <scheme val="major"/>
      </rPr>
      <t>(LP 25 bar)</t>
    </r>
  </si>
  <si>
    <r>
      <t xml:space="preserve">LPG 145-50
</t>
    </r>
    <r>
      <rPr>
        <sz val="10"/>
        <color rgb="FF000000"/>
        <rFont val="Cambria"/>
        <family val="1"/>
        <scheme val="major"/>
      </rPr>
      <t>(HP 42 bar)</t>
    </r>
  </si>
  <si>
    <t>Master c/w solenoid</t>
  </si>
  <si>
    <t>Slave c/w blind cap</t>
  </si>
  <si>
    <t xml:space="preserve">Master c/w solenoid </t>
  </si>
  <si>
    <t xml:space="preserve">Master c/w 1/8" solenoid </t>
  </si>
  <si>
    <t xml:space="preserve">Slave c/w blind cap </t>
  </si>
  <si>
    <t>Cylinder Type</t>
  </si>
  <si>
    <t>THORN Filling</t>
  </si>
  <si>
    <t>LPG Filling</t>
  </si>
  <si>
    <t>Cylinder Selected</t>
  </si>
  <si>
    <t>* OInly High Pressure Cylinder Supplied</t>
  </si>
  <si>
    <t>Filling Per Cylinder</t>
  </si>
  <si>
    <t>Calculated by:</t>
  </si>
  <si>
    <t>to</t>
  </si>
  <si>
    <t>379 to757</t>
  </si>
  <si>
    <t>Only High Pressure Cylinders Supplied</t>
  </si>
  <si>
    <t>Min.</t>
  </si>
  <si>
    <t>Max.</t>
  </si>
  <si>
    <t>67.5 liter *</t>
  </si>
  <si>
    <t>Project Information</t>
  </si>
  <si>
    <t xml:space="preserve">Attention: </t>
  </si>
  <si>
    <t>A</t>
  </si>
  <si>
    <t>B</t>
  </si>
  <si>
    <t>C</t>
  </si>
  <si>
    <t>Design Standards</t>
  </si>
  <si>
    <t>Supplier</t>
  </si>
  <si>
    <t>THORN_Cylinders_Volume</t>
  </si>
  <si>
    <t>Minimum Design Concentration ( % )</t>
  </si>
  <si>
    <t>Total Agent</t>
  </si>
  <si>
    <t>Meters</t>
  </si>
  <si>
    <t>Select Favorite Brand</t>
  </si>
  <si>
    <t>Cylinder Size</t>
  </si>
  <si>
    <t>Selected Brand</t>
  </si>
  <si>
    <t>Brand Selected</t>
  </si>
  <si>
    <t>Size of Container requierd</t>
  </si>
  <si>
    <t>Estimating Number of Nozzles</t>
  </si>
  <si>
    <t>General Rules for Selecting Number of Nozzles:</t>
  </si>
  <si>
    <t>Nozzle location is affected by the shape of the hazard area.
1- The maximum discharge radius is 8.7 m for a 360° nozzle and 10.05 m for a 180° nozzle.
2- The maximum coverage area for either nozzle is 95.3 m².
3- 4.87 m maximum protection height for 360° and 180° nozzle.
4- 300 mm minimum void height. (i.e. Sub-floors and false ceilings)
5- 180° nozzles must be mounted adjacent to a wall and must be located to cover the entire area.
6- Maximum distance 180 degree nozzles should be placed from a wall 300 mm, the minimum 50 mm. Measured from centre of the nozzle to the wall.
7- To avoid turbulences inside the hazard the quantity per nozzle should not exceed 100 kg.</t>
  </si>
  <si>
    <r>
      <t>Nozzle location is affected by the shape of the hazard area.
1- The maximum discharge radius is 4.2 m for a 360° nozzle and 6.7 m for a 180° nozzle.
2- Maxium protection area per nozzle is 36 m</t>
    </r>
    <r>
      <rPr>
        <b/>
        <vertAlign val="superscript"/>
        <sz val="10"/>
        <rFont val="Cambria"/>
        <family val="1"/>
        <scheme val="major"/>
      </rPr>
      <t>2</t>
    </r>
    <r>
      <rPr>
        <b/>
        <sz val="10"/>
        <rFont val="Cambria"/>
        <family val="1"/>
        <scheme val="major"/>
      </rPr>
      <t>.
3- 4.1 m maximum protection height for 360° and 180° nozzle.
4- 460mm minimum hight.
5- 360° nozzles to be placed as close to the center of the hazard as possible.
6- 180° nozzles to be preferable placed on the longer side wall, max. 300 mm away from the wall.
7- On multiple nozzle systems, the nozzles should be as equally spaced as possible.
8- To avoid turbulences inside the hazard the quantity per nozzle should not exceed 100 kg.</t>
    </r>
  </si>
  <si>
    <t>Agent Calculation Result</t>
  </si>
  <si>
    <t>back to CALCULATION sheet</t>
  </si>
  <si>
    <t>UL &amp; LPCB Approved</t>
  </si>
  <si>
    <t>back to NOZZLE &amp; FLOW sheet</t>
  </si>
  <si>
    <t>Minimum Temperature</t>
  </si>
  <si>
    <t>Max. Flow Rate per Nozzle Area 1</t>
  </si>
  <si>
    <t>Max. Flow Rate per Nozzle Area 3</t>
  </si>
  <si>
    <t>Max. Flow Rate per Nozzle Area 2</t>
  </si>
  <si>
    <t>Date:</t>
  </si>
  <si>
    <t>Revision</t>
  </si>
  <si>
    <t>Ali Cheraghi</t>
  </si>
  <si>
    <t>یا حق</t>
  </si>
  <si>
    <t>مقدمه</t>
  </si>
  <si>
    <t>شاد زی ، مهر افزون</t>
  </si>
  <si>
    <t>علی چراغی</t>
  </si>
  <si>
    <t>راه های تماس:</t>
  </si>
  <si>
    <t>ali@noorneda.com
ali_cheraghi@yahoo.com</t>
  </si>
  <si>
    <t>Email:</t>
  </si>
  <si>
    <t>+98 912 376 1057</t>
  </si>
  <si>
    <t>Cellphone:</t>
  </si>
  <si>
    <t>This Software designed for FM-200 basic PreCalculation.
Final Calculation Must be done by Specialist Technicians via Specified Tyco, THORN or LPG Software Programs.</t>
  </si>
  <si>
    <t>back to Summary</t>
  </si>
  <si>
    <t>go to Flow Rate</t>
  </si>
  <si>
    <t>Design Standard</t>
  </si>
  <si>
    <t>Discharge Time</t>
  </si>
  <si>
    <t>Total Volume</t>
  </si>
  <si>
    <r>
      <t>m</t>
    </r>
    <r>
      <rPr>
        <vertAlign val="superscript"/>
        <sz val="9"/>
        <rFont val="Cambria"/>
        <family val="1"/>
        <scheme val="major"/>
      </rPr>
      <t>3</t>
    </r>
  </si>
  <si>
    <t>Sector No.</t>
  </si>
  <si>
    <t>Hazard Name</t>
  </si>
  <si>
    <t>Non-permeable Volume</t>
  </si>
  <si>
    <t>Basic Aget Quantity</t>
  </si>
  <si>
    <t>Total Aget Quantity</t>
  </si>
  <si>
    <r>
      <t>m</t>
    </r>
    <r>
      <rPr>
        <vertAlign val="superscript"/>
        <sz val="10"/>
        <rFont val="Cambria"/>
        <family val="1"/>
        <scheme val="major"/>
      </rPr>
      <t>2</t>
    </r>
  </si>
  <si>
    <r>
      <t>m</t>
    </r>
    <r>
      <rPr>
        <vertAlign val="superscript"/>
        <sz val="10"/>
        <rFont val="Cambria"/>
        <family val="1"/>
        <scheme val="major"/>
      </rPr>
      <t>3</t>
    </r>
  </si>
  <si>
    <t>Server Room</t>
  </si>
  <si>
    <t>Server Room, Suspend Ceiling</t>
  </si>
  <si>
    <t>Server Room, Rised Floor</t>
  </si>
  <si>
    <t>Q1=</t>
  </si>
  <si>
    <t>Total Basic Agent</t>
  </si>
  <si>
    <t>Fire Classification</t>
  </si>
  <si>
    <t>6 - 10 second</t>
  </si>
  <si>
    <t>NFPA 2001</t>
  </si>
  <si>
    <t>ISO 14520 - 9</t>
  </si>
  <si>
    <t>Vds 2381</t>
  </si>
  <si>
    <t>Minimum Design Concentration</t>
  </si>
  <si>
    <t>Select  Fule M.D.C</t>
  </si>
  <si>
    <t>Insert Desirable M.D.C. Manually</t>
  </si>
  <si>
    <t>Specific Vapour Volume (Min. Temp)</t>
  </si>
  <si>
    <t>Specific Vapour Volume (Max. Temp)</t>
  </si>
  <si>
    <t>Percent of Volume/Total</t>
  </si>
  <si>
    <t>Sea Level</t>
  </si>
  <si>
    <t>Correction Factors</t>
  </si>
  <si>
    <t>Enclosure Pressure (Absolute)</t>
  </si>
  <si>
    <t>psi</t>
  </si>
  <si>
    <t>mm Hg</t>
  </si>
  <si>
    <t>NFPA2001 (2015 Edition), Table 5.5.3.3</t>
  </si>
  <si>
    <t>back to Protected Areas</t>
  </si>
  <si>
    <t>Q2=</t>
  </si>
  <si>
    <t>Q3=</t>
  </si>
  <si>
    <t xml:space="preserve">Cylinder Min. &amp; Max. of Filling </t>
  </si>
  <si>
    <t>Min. THORN Filling</t>
  </si>
  <si>
    <t>Min. LPG Filling</t>
  </si>
  <si>
    <t>Max. THORN Filling</t>
  </si>
  <si>
    <t>Max. LPG Filling</t>
  </si>
  <si>
    <t>Number of Cylinders</t>
  </si>
  <si>
    <t>Concentration Minimum</t>
  </si>
  <si>
    <t>Concentration Maximum</t>
  </si>
  <si>
    <t>Number of Nozzle</t>
  </si>
  <si>
    <t>Agent/ Nozzle</t>
  </si>
  <si>
    <t>recommend</t>
  </si>
  <si>
    <t>set to</t>
  </si>
  <si>
    <t>pcs</t>
  </si>
  <si>
    <t>kg/second</t>
  </si>
  <si>
    <t>Flow rate/Hazard</t>
  </si>
  <si>
    <t>Flow Rate/Nozzle</t>
  </si>
  <si>
    <t>Total Agent required</t>
  </si>
  <si>
    <t>back to PROTECTED AREAS</t>
  </si>
  <si>
    <t>Nozzle &amp; Flow Rate</t>
  </si>
  <si>
    <t>THORN Security</t>
  </si>
  <si>
    <t>Containers Detail</t>
  </si>
  <si>
    <t>back to CALCULATION sheet (Protected Areas)</t>
  </si>
  <si>
    <t xml:space="preserve"> Containers Detail</t>
  </si>
  <si>
    <t>Specific Vapour Volume (NFPA)</t>
  </si>
  <si>
    <r>
      <t xml:space="preserve">FM 200 Total Flooding Quantity 
</t>
    </r>
    <r>
      <rPr>
        <sz val="12"/>
        <rFont val="Cambria"/>
        <family val="1"/>
        <scheme val="major"/>
      </rPr>
      <t>(NFPA2001 (2015 Edition)-Table A.5.5.1(j))</t>
    </r>
  </si>
  <si>
    <t>Min. Design Concentration</t>
  </si>
  <si>
    <t xml:space="preserve">Agent Weight Requirements </t>
  </si>
  <si>
    <r>
      <t>kg/m</t>
    </r>
    <r>
      <rPr>
        <vertAlign val="superscript"/>
        <sz val="10"/>
        <rFont val="Cambria"/>
        <family val="1"/>
        <scheme val="major"/>
      </rPr>
      <t>3</t>
    </r>
  </si>
  <si>
    <t>(تهران هفتم خرداد ماه 1396)</t>
  </si>
  <si>
    <t>Min. Anticipated Temperature</t>
  </si>
  <si>
    <t>Max. Anticipated Temperature</t>
  </si>
  <si>
    <t>Concentration ( C ) %</t>
  </si>
  <si>
    <t>Max. Concentration/Hazard</t>
  </si>
  <si>
    <t>Aget Quantity</t>
  </si>
  <si>
    <t>Predict Achieved</t>
  </si>
  <si>
    <t>Min. Design Concentration Set:</t>
  </si>
  <si>
    <t>NFPA 2001 (2015 Edition), 4.1.4.5: The containers connected to a manifold shall meet the following criteria:
(1) For halocarbon clean agents in a multiple container system, all containers supplying the same manifold outlet for distribution of the same agent shall be interchangeable and of one select size and charge.</t>
  </si>
  <si>
    <t>NFPA 2001 (2015 Edition), 4.1.3.2: Storage containers shall be located as close as possible to or within the hazard or hazards they protect.</t>
  </si>
  <si>
    <t>NFPA 2001 (2015 Edition), 4.1.3.3 Agent storage containers shall not be located where they can be rendered inoperable or unreliable due to mechanical damage or exposure to chemicals or harsh weather conditions or by any other foreseeable cause. Where container exposure to such conditions is unavoidable, then suitable enclosures or protective measures shall be employed.</t>
  </si>
  <si>
    <t>NFPA 2001 (2015 Edition), 5.3.4: To prevent loss of agent through openings to adjacent hazards or work areas, openings shall be permanently sealed or equipped with automatic closures. Where reasonable confinement of agent is not practicable, protection shall be expanded to include the adjacent connected hazards or work areas or additional agent shall be introduced into the protected enclosure using an extended discharge configuration.</t>
  </si>
  <si>
    <r>
      <rPr>
        <b/>
        <sz val="11"/>
        <rFont val="Cambria"/>
        <family val="1"/>
        <scheme val="major"/>
      </rPr>
      <t xml:space="preserve"> Your Estimating</t>
    </r>
    <r>
      <rPr>
        <sz val="11"/>
        <rFont val="Cambria"/>
        <family val="1"/>
        <scheme val="major"/>
      </rPr>
      <t xml:space="preserve"> Nozzle</t>
    </r>
  </si>
  <si>
    <t>Insert Project Name</t>
  </si>
  <si>
    <r>
      <t xml:space="preserve">NFPA 2001 (2015 Edition), 5.6: </t>
    </r>
    <r>
      <rPr>
        <sz val="10"/>
        <color rgb="FFC00000"/>
        <rFont val="Cambria"/>
        <family val="1"/>
        <scheme val="major"/>
      </rPr>
      <t>Duration of Protection</t>
    </r>
    <r>
      <rPr>
        <sz val="10"/>
        <color theme="7" tint="-0.249977111117893"/>
        <rFont val="Cambria"/>
        <family val="1"/>
        <scheme val="major"/>
      </rPr>
      <t xml:space="preserve">. A minimum concentration of 85 percent of the design concentration shall be held at the highest level of combustibles for a </t>
    </r>
    <r>
      <rPr>
        <b/>
        <sz val="11"/>
        <color rgb="FFC00000"/>
        <rFont val="Cambria"/>
        <family val="1"/>
        <scheme val="major"/>
      </rPr>
      <t>minimum period of 10 minutes</t>
    </r>
    <r>
      <rPr>
        <sz val="10"/>
        <color theme="7" tint="-0.249977111117893"/>
        <rFont val="Cambria"/>
        <family val="1"/>
        <scheme val="major"/>
      </rPr>
      <t xml:space="preserve"> or for a time period to allow for response by trained personnel. It is important that the agent design concentration not only shall be achieved, but also shall be maintained for the specified period of time to allow effective emergency action by trained personnel. This is equally important in all classes of fires, since a persistentignition source (e.g., an arc, heat source, oxyacetylene torch, or “deep-seated” fire) can lead to resurgence of the initial event once the clean agent has dissipated.</t>
    </r>
  </si>
  <si>
    <t>EN</t>
  </si>
  <si>
    <t>EN 15004 - 5</t>
  </si>
  <si>
    <t>Info. Only</t>
  </si>
  <si>
    <t>Hazard Volume</t>
  </si>
  <si>
    <t>Hazard Area</t>
  </si>
  <si>
    <t>Selectable Standard M.D.C.</t>
  </si>
  <si>
    <t>NFPA 2001 (2015 Edition),5.5.3.3: Design Factor for Enclosure Pressure. The design quantity of the clean agent shall be adjusted to compensate for ambient pressures that vary more than 11 percent [equivalent to approximately 915 m of elevation change] from standard sea level pressures [29.92 in. Hg at 70°F (760 mm Hgat 0°C)].</t>
  </si>
  <si>
    <t>NFPA 2001 (2015 Edition), 5.7.1.1.1: For halocarbon agents, the discharge time required to achieve 95% of the M.D.C. for flame extinguishment based on a 20 percent safety factor shall not exceed 10 seconds</t>
  </si>
  <si>
    <t>back to Protected Area sheet</t>
  </si>
  <si>
    <t>Calculated Total Aget Qty</t>
  </si>
  <si>
    <t>Number of Hazard (Enclosures)</t>
  </si>
  <si>
    <t>Hazard No.</t>
  </si>
  <si>
    <t>System
Flow Rate</t>
  </si>
  <si>
    <t xml:space="preserve">از جناب استاد مهندس مرتضی خلیل پیما، مدیریت محترم عامل شرکت نور ندا بعلت آموزش ها و راهنمایی های همیشگی شان در مسیر آشنایی با مهندسی حریق، کمال تشکر و قدردانی را دارم.
از جناب آقای مهندس امیر خلیل پیما، مدیریت محترم عامل شرکت نور ندا سیستم بعلت مساعدت و پشتیبانی همه جانبه در جهت آموزش و همچنین ایجاد این نرم افزار و سایر مقالات مرتبط با مباحث مهندسی حریق سپاسگذارم.
این نرم افزار کوچک وقف عام بوده و استفاده از آن با ذکر منبع برای تمامی افراد و سازمان ها بلامانع می باشد.
از تمامی دوستان، اساتید و کارشناسان محترم تقاضا دارم تا پس از استفاده از این نرم افزار، با ارائه انتقادات، پیشنهادات و راهنمائی های خود اینجانب را در برطرف نمودن ایرادات موجود و ارتقاء این نرم افزار یاری فرمایند.
</t>
  </si>
  <si>
    <r>
      <t xml:space="preserve">1. این نرم افزار کوچک آموزشی اولین بار در سال 1386 در شرکت نور ندا سیستم و بجهت آموزش پرسنل تهیه گردید و سپس در سال های بعد اصلاحاتی در آن بوجود آمد.
2. این افزار کوچک قادر به محاسبه اولیۀ حجم گاز و تعداد کپسول های محتوی گاز </t>
    </r>
    <r>
      <rPr>
        <sz val="11"/>
        <rFont val="Cambria"/>
        <family val="1"/>
        <scheme val="major"/>
      </rPr>
      <t>FM-200</t>
    </r>
    <r>
      <rPr>
        <b/>
        <sz val="11"/>
        <rFont val="B Nazanin"/>
        <charset val="178"/>
      </rPr>
      <t xml:space="preserve">، مورد نیاز در سیستم های اطفاء حریق اتوماتیک پایۀ گاز می باشد.
3. هدف از ایجاد این نرم افزار، آموزش محاسبه حجم گاز، سرعت بخشیدن به محاسبۀ اولیۀ حجم گاز و تعداد کپسول های مورد نیاز می باشد.
4. محاسبات نهایی و اصلی می بایست توسط نرم افزارهای مربوطه همانند نرم افزارهای شرکت </t>
    </r>
    <r>
      <rPr>
        <sz val="11"/>
        <rFont val="Cambria"/>
        <family val="1"/>
        <scheme val="major"/>
      </rPr>
      <t>TYCO-THORN-LPG</t>
    </r>
    <r>
      <rPr>
        <b/>
        <sz val="11"/>
        <rFont val="B Nazanin"/>
        <charset val="178"/>
      </rPr>
      <t xml:space="preserve"> انجام شود.
5. استفاده از این نرم افزار نیازمند آشنایی کامل با استاندادرهای مربوطه همانند </t>
    </r>
    <r>
      <rPr>
        <b/>
        <sz val="11"/>
        <rFont val="Cambria"/>
        <family val="1"/>
        <scheme val="major"/>
      </rPr>
      <t xml:space="preserve">NFPA2001، </t>
    </r>
    <r>
      <rPr>
        <b/>
        <sz val="11"/>
        <rFont val="B Nazanin"/>
        <charset val="178"/>
      </rPr>
      <t>خصوصیات و رفتار گاز مورد نظر و سایر کدها و الزمات مربوطه می باشد. 
6. انجام محاسبات باید توسط افراد آشنا با مهندسی حریق و آموزش دیده انجام شود.
7. در صفحه خلاصه (summary)، سلول های خالی با فونت بنفش رنگ و در سایر صفحات، سلول های با فونت سبز و بنفش رنگ جهت ورود اطلاعات (اعم از تایپ و یا انتخاب گزینه) در نظر گرفته شده اند.
8. در تمامی صفحات سلول های با فونت آبی رنگ نتایج محاسبات بوده و غیر قابل تغییر می باشند.
9. برای هر بار محاسبه، صفحات باید بترتیب مرور و اطلاعات لازم در هر سطر بترتیب از بالا به پایین کامل شود.
10. به هشدارهای داده شده و یا اطلاعات تکمیلی (</t>
    </r>
    <r>
      <rPr>
        <sz val="11"/>
        <rFont val="Cambria"/>
        <family val="1"/>
        <scheme val="major"/>
      </rPr>
      <t>comment</t>
    </r>
    <r>
      <rPr>
        <b/>
        <sz val="11"/>
        <rFont val="B Nazanin"/>
        <charset val="178"/>
      </rPr>
      <t xml:space="preserve">) ارائه شده، توجه کامل شود.
</t>
    </r>
  </si>
  <si>
    <t>1396/10/22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</si>
</sst>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0;[Red]0"/>
    <numFmt numFmtId="165" formatCode="0.00_ ;[Red]\-0.00\ "/>
    <numFmt numFmtId="166" formatCode="0_ ;[Red]\-0\ "/>
    <numFmt numFmtId="167" formatCode="0.0"/>
    <numFmt numFmtId="168" formatCode="0.0000"/>
    <numFmt numFmtId="169" formatCode="0.0_ ;[Red]\-0.0\ "/>
    <numFmt numFmtId="170" formatCode="0.000_ ;[Red]\-0.000\ "/>
    <numFmt numFmtId="171" formatCode="0.0000_ ;[Red]\-0.0000\ "/>
    <numFmt numFmtId="172" formatCode="0.00;[Red]0.00"/>
    <numFmt numFmtId="173" formatCode="0.0;[Red]0.0"/>
    <numFmt numFmtId="174" formatCode="#,##0;[Red]#,##0"/>
    <numFmt numFmtId="175" formatCode="#,##0.00;[Red]#,##0.00"/>
    <numFmt numFmtId="176" formatCode="#,##0.0"/>
    <numFmt numFmtId="177" formatCode="0.0%"/>
    <numFmt numFmtId="178" formatCode="#,##0.000000"/>
    <numFmt numFmtId="179" formatCode="#,##0.000"/>
  </numFmts>
  <fonts count="117">
    <font>
      <sz val="10"/>
      <name val="Arial"/>
      <charset val="178"/>
    </font>
    <font>
      <b/>
      <sz val="12"/>
      <name val="Arial"/>
      <family val="2"/>
    </font>
    <font>
      <sz val="8"/>
      <name val="Arial"/>
      <family val="2"/>
    </font>
    <font>
      <b/>
      <sz val="14"/>
      <name val="Arial"/>
      <family val="2"/>
    </font>
    <font>
      <b/>
      <sz val="16"/>
      <name val="Arial"/>
      <family val="2"/>
    </font>
    <font>
      <u/>
      <sz val="10"/>
      <color indexed="12"/>
      <name val="Arial"/>
      <family val="2"/>
    </font>
    <font>
      <b/>
      <sz val="10"/>
      <name val="Arial"/>
      <family val="2"/>
    </font>
    <font>
      <b/>
      <sz val="10"/>
      <color indexed="12"/>
      <name val="Arial"/>
      <family val="2"/>
    </font>
    <font>
      <b/>
      <vertAlign val="superscript"/>
      <sz val="10"/>
      <name val="Arial"/>
      <family val="2"/>
    </font>
    <font>
      <b/>
      <u/>
      <sz val="12"/>
      <color indexed="12"/>
      <name val="Arial"/>
      <family val="2"/>
    </font>
    <font>
      <b/>
      <sz val="10"/>
      <color indexed="57"/>
      <name val="Arial"/>
      <family val="2"/>
    </font>
    <font>
      <b/>
      <u/>
      <sz val="10"/>
      <color indexed="12"/>
      <name val="Arial"/>
      <family val="2"/>
    </font>
    <font>
      <b/>
      <sz val="8"/>
      <name val="Arial"/>
      <family val="2"/>
    </font>
    <font>
      <b/>
      <vertAlign val="superscript"/>
      <sz val="8"/>
      <name val="Arial"/>
      <family val="2"/>
    </font>
    <font>
      <b/>
      <u/>
      <sz val="14"/>
      <color indexed="12"/>
      <name val="Arial"/>
      <family val="2"/>
    </font>
    <font>
      <b/>
      <sz val="12"/>
      <color indexed="57"/>
      <name val="Arial"/>
      <family val="2"/>
    </font>
    <font>
      <b/>
      <u/>
      <sz val="12"/>
      <color indexed="9"/>
      <name val="Arial"/>
      <family val="2"/>
    </font>
    <font>
      <sz val="10"/>
      <color indexed="9"/>
      <name val="Arial"/>
      <family val="2"/>
    </font>
    <font>
      <b/>
      <i/>
      <sz val="8"/>
      <name val="Arial"/>
      <family val="2"/>
    </font>
    <font>
      <sz val="14"/>
      <name val="Times New Roman"/>
      <family val="1"/>
    </font>
    <font>
      <b/>
      <sz val="18"/>
      <name val="Times New Roman"/>
      <family val="1"/>
    </font>
    <font>
      <b/>
      <sz val="11"/>
      <name val="Times New Roman"/>
      <family val="1"/>
    </font>
    <font>
      <b/>
      <sz val="9"/>
      <color indexed="81"/>
      <name val="Tahoma"/>
      <family val="2"/>
    </font>
    <font>
      <b/>
      <sz val="11"/>
      <color rgb="FF000080"/>
      <name val="Arial"/>
      <family val="2"/>
    </font>
    <font>
      <b/>
      <i/>
      <sz val="12"/>
      <color rgb="FF7030A0"/>
      <name val="Cambria"/>
      <family val="1"/>
      <scheme val="major"/>
    </font>
    <font>
      <b/>
      <sz val="9"/>
      <name val="Cambria"/>
      <family val="1"/>
      <scheme val="major"/>
    </font>
    <font>
      <b/>
      <i/>
      <sz val="12"/>
      <name val="Cambria"/>
      <family val="1"/>
      <scheme val="major"/>
    </font>
    <font>
      <sz val="10"/>
      <name val="Cambria"/>
      <family val="1"/>
      <scheme val="major"/>
    </font>
    <font>
      <b/>
      <sz val="15"/>
      <name val="Cambria"/>
      <family val="1"/>
      <scheme val="major"/>
    </font>
    <font>
      <b/>
      <sz val="12"/>
      <name val="Cambria"/>
      <family val="1"/>
      <scheme val="major"/>
    </font>
    <font>
      <b/>
      <sz val="10"/>
      <name val="Cambria"/>
      <family val="1"/>
      <scheme val="major"/>
    </font>
    <font>
      <b/>
      <sz val="10"/>
      <color indexed="17"/>
      <name val="Cambria"/>
      <family val="1"/>
      <scheme val="major"/>
    </font>
    <font>
      <b/>
      <sz val="10"/>
      <color rgb="FF000080"/>
      <name val="Cambria"/>
      <family val="1"/>
      <scheme val="major"/>
    </font>
    <font>
      <b/>
      <sz val="8"/>
      <name val="Cambria"/>
      <family val="1"/>
      <scheme val="major"/>
    </font>
    <font>
      <b/>
      <sz val="16"/>
      <name val="Cambria"/>
      <family val="1"/>
      <scheme val="major"/>
    </font>
    <font>
      <b/>
      <sz val="14"/>
      <name val="Cambria"/>
      <family val="1"/>
      <scheme val="major"/>
    </font>
    <font>
      <sz val="10"/>
      <color theme="0"/>
      <name val="Cambria"/>
      <family val="1"/>
      <scheme val="major"/>
    </font>
    <font>
      <sz val="11"/>
      <name val="Cambria"/>
      <family val="1"/>
      <scheme val="major"/>
    </font>
    <font>
      <sz val="10"/>
      <color theme="0" tint="-0.34998626667073579"/>
      <name val="Cambria"/>
      <family val="1"/>
      <scheme val="major"/>
    </font>
    <font>
      <b/>
      <sz val="11"/>
      <name val="Cambria"/>
      <family val="1"/>
      <scheme val="major"/>
    </font>
    <font>
      <b/>
      <u/>
      <sz val="12"/>
      <color indexed="12"/>
      <name val="Cambria"/>
      <family val="1"/>
      <scheme val="major"/>
    </font>
    <font>
      <b/>
      <sz val="11"/>
      <color indexed="12"/>
      <name val="Cambria"/>
      <family val="1"/>
      <scheme val="major"/>
    </font>
    <font>
      <sz val="12"/>
      <name val="Cambria"/>
      <family val="1"/>
      <scheme val="major"/>
    </font>
    <font>
      <sz val="9"/>
      <color indexed="81"/>
      <name val="Tahoma"/>
      <family val="2"/>
    </font>
    <font>
      <b/>
      <sz val="9"/>
      <color indexed="81"/>
      <name val="Cambria"/>
      <family val="1"/>
      <scheme val="major"/>
    </font>
    <font>
      <sz val="9"/>
      <name val="Cambria"/>
      <family val="1"/>
      <scheme val="major"/>
    </font>
    <font>
      <sz val="10"/>
      <color rgb="FF000080"/>
      <name val="Cambria"/>
      <family val="1"/>
      <scheme val="major"/>
    </font>
    <font>
      <vertAlign val="superscript"/>
      <sz val="9"/>
      <name val="Cambria"/>
      <family val="1"/>
      <scheme val="major"/>
    </font>
    <font>
      <u/>
      <sz val="10"/>
      <color indexed="12"/>
      <name val="Cambria"/>
      <family val="1"/>
      <scheme val="major"/>
    </font>
    <font>
      <sz val="10"/>
      <name val="Cambria"/>
      <family val="1"/>
    </font>
    <font>
      <b/>
      <i/>
      <sz val="10"/>
      <color theme="0" tint="-0.499984740745262"/>
      <name val="Cambria"/>
      <family val="1"/>
      <scheme val="major"/>
    </font>
    <font>
      <b/>
      <i/>
      <sz val="12"/>
      <color theme="0" tint="-0.499984740745262"/>
      <name val="Cambria"/>
      <family val="1"/>
      <scheme val="major"/>
    </font>
    <font>
      <b/>
      <sz val="10"/>
      <color rgb="FF7030A0"/>
      <name val="Cambria"/>
      <family val="1"/>
      <scheme val="major"/>
    </font>
    <font>
      <b/>
      <sz val="10"/>
      <color indexed="81"/>
      <name val="Cambria"/>
      <family val="1"/>
      <scheme val="major"/>
    </font>
    <font>
      <sz val="10"/>
      <name val="Arial"/>
      <family val="2"/>
    </font>
    <font>
      <sz val="8"/>
      <color rgb="FF000000"/>
      <name val="Cambria"/>
      <family val="1"/>
    </font>
    <font>
      <b/>
      <sz val="10"/>
      <color rgb="FF000000"/>
      <name val="Cambria"/>
      <family val="1"/>
    </font>
    <font>
      <sz val="10"/>
      <color rgb="FF000000"/>
      <name val="Cambria"/>
      <family val="1"/>
    </font>
    <font>
      <sz val="14"/>
      <color rgb="FF000080"/>
      <name val="Cambria"/>
      <family val="1"/>
      <scheme val="major"/>
    </font>
    <font>
      <b/>
      <u/>
      <sz val="12"/>
      <color rgb="FF7030A0"/>
      <name val="Arial"/>
      <family val="2"/>
    </font>
    <font>
      <sz val="13"/>
      <color rgb="FF000080"/>
      <name val="Cambria"/>
      <family val="1"/>
      <scheme val="major"/>
    </font>
    <font>
      <b/>
      <sz val="10"/>
      <color rgb="FF000000"/>
      <name val="Cambria"/>
      <family val="1"/>
      <scheme val="major"/>
    </font>
    <font>
      <sz val="10"/>
      <color rgb="FF000000"/>
      <name val="Cambria"/>
      <family val="1"/>
      <scheme val="major"/>
    </font>
    <font>
      <sz val="10"/>
      <name val="Calibri"/>
      <family val="2"/>
      <scheme val="minor"/>
    </font>
    <font>
      <sz val="9"/>
      <color rgb="FF000080"/>
      <name val="Cambria"/>
      <family val="1"/>
      <scheme val="major"/>
    </font>
    <font>
      <sz val="11"/>
      <color rgb="FF000000"/>
      <name val="Cambria"/>
      <family val="1"/>
      <scheme val="major"/>
    </font>
    <font>
      <b/>
      <sz val="10"/>
      <color theme="0"/>
      <name val="Calibri"/>
      <family val="2"/>
      <scheme val="minor"/>
    </font>
    <font>
      <sz val="9.5"/>
      <name val="Cambria"/>
      <family val="1"/>
      <scheme val="major"/>
    </font>
    <font>
      <b/>
      <sz val="6"/>
      <name val="Calibri"/>
      <family val="2"/>
      <scheme val="minor"/>
    </font>
    <font>
      <b/>
      <i/>
      <sz val="6"/>
      <name val="Calibri"/>
      <family val="2"/>
      <scheme val="minor"/>
    </font>
    <font>
      <sz val="6"/>
      <name val="Calibri"/>
      <family val="2"/>
      <scheme val="minor"/>
    </font>
    <font>
      <sz val="13"/>
      <color theme="5" tint="-0.249977111117893"/>
      <name val="Cambria"/>
      <family val="1"/>
      <scheme val="major"/>
    </font>
    <font>
      <b/>
      <sz val="11"/>
      <color rgb="FFC00000"/>
      <name val="Cambria"/>
      <family val="1"/>
      <scheme val="major"/>
    </font>
    <font>
      <sz val="11"/>
      <color rgb="FF000080"/>
      <name val="Cambria"/>
      <family val="1"/>
      <scheme val="major"/>
    </font>
    <font>
      <u/>
      <sz val="10"/>
      <color rgb="FFC00000"/>
      <name val="Cambria"/>
      <family val="1"/>
      <scheme val="major"/>
    </font>
    <font>
      <b/>
      <i/>
      <sz val="8"/>
      <name val="Cambria"/>
      <family val="1"/>
      <scheme val="major"/>
    </font>
    <font>
      <b/>
      <sz val="6"/>
      <name val="Cambria"/>
      <family val="1"/>
      <scheme val="major"/>
    </font>
    <font>
      <b/>
      <sz val="11"/>
      <color rgb="FF000080"/>
      <name val="Cambria"/>
      <family val="1"/>
      <scheme val="major"/>
    </font>
    <font>
      <b/>
      <vertAlign val="superscript"/>
      <sz val="10"/>
      <name val="Cambria"/>
      <family val="1"/>
      <scheme val="major"/>
    </font>
    <font>
      <u/>
      <sz val="11"/>
      <color indexed="12"/>
      <name val="Cambria"/>
      <family val="1"/>
      <scheme val="major"/>
    </font>
    <font>
      <i/>
      <u/>
      <sz val="11"/>
      <color indexed="12"/>
      <name val="Cambria"/>
      <family val="1"/>
      <scheme val="major"/>
    </font>
    <font>
      <sz val="7"/>
      <name val="Cambria"/>
      <family val="1"/>
      <scheme val="major"/>
    </font>
    <font>
      <b/>
      <sz val="10"/>
      <name val="B Nazanin"/>
      <charset val="178"/>
    </font>
    <font>
      <i/>
      <sz val="7"/>
      <name val="Cambria"/>
      <family val="1"/>
      <scheme val="major"/>
    </font>
    <font>
      <b/>
      <sz val="12"/>
      <name val="B Titr"/>
      <charset val="178"/>
    </font>
    <font>
      <b/>
      <sz val="10"/>
      <name val="B Titr"/>
      <charset val="178"/>
    </font>
    <font>
      <b/>
      <sz val="11"/>
      <name val="B Nazanin"/>
      <charset val="178"/>
    </font>
    <font>
      <b/>
      <sz val="9"/>
      <color rgb="FF7030A0"/>
      <name val="Cambria"/>
      <family val="1"/>
      <scheme val="major"/>
    </font>
    <font>
      <u/>
      <sz val="12"/>
      <color indexed="12"/>
      <name val="Cambria"/>
      <family val="1"/>
      <scheme val="major"/>
    </font>
    <font>
      <b/>
      <sz val="14"/>
      <color theme="9" tint="-0.249977111117893"/>
      <name val="Cambria"/>
      <family val="1"/>
      <scheme val="major"/>
    </font>
    <font>
      <b/>
      <sz val="12"/>
      <color theme="9" tint="-0.249977111117893"/>
      <name val="Cambria"/>
      <family val="1"/>
      <scheme val="major"/>
    </font>
    <font>
      <b/>
      <sz val="11"/>
      <color rgb="FF008000"/>
      <name val="Cambria"/>
      <family val="1"/>
      <scheme val="major"/>
    </font>
    <font>
      <sz val="11"/>
      <color rgb="FFFF4747"/>
      <name val="Cambria"/>
      <family val="1"/>
      <scheme val="major"/>
    </font>
    <font>
      <sz val="11"/>
      <color rgb="FF7030A0"/>
      <name val="Cambria"/>
      <family val="1"/>
      <scheme val="major"/>
    </font>
    <font>
      <sz val="11"/>
      <color rgb="FF008000"/>
      <name val="Cambria"/>
      <family val="1"/>
      <scheme val="major"/>
    </font>
    <font>
      <vertAlign val="superscript"/>
      <sz val="10"/>
      <name val="Cambria"/>
      <family val="1"/>
      <scheme val="major"/>
    </font>
    <font>
      <b/>
      <sz val="14"/>
      <color rgb="FFFF0000"/>
      <name val="Cambria"/>
      <family val="1"/>
      <scheme val="major"/>
    </font>
    <font>
      <sz val="10"/>
      <color indexed="81"/>
      <name val="Cambria"/>
      <family val="1"/>
      <scheme val="major"/>
    </font>
    <font>
      <sz val="10"/>
      <color theme="0" tint="-0.34998626667073579"/>
      <name val="Arial"/>
      <family val="2"/>
    </font>
    <font>
      <b/>
      <sz val="11"/>
      <color theme="0"/>
      <name val="Cambria"/>
      <family val="1"/>
      <scheme val="major"/>
    </font>
    <font>
      <sz val="10"/>
      <color theme="6" tint="0.79998168889431442"/>
      <name val="Cambria"/>
      <family val="1"/>
      <scheme val="major"/>
    </font>
    <font>
      <sz val="13"/>
      <name val="Cambria"/>
      <family val="1"/>
      <scheme val="major"/>
    </font>
    <font>
      <b/>
      <sz val="18"/>
      <color rgb="FF000080"/>
      <name val="Cambria"/>
      <family val="1"/>
      <scheme val="major"/>
    </font>
    <font>
      <u/>
      <sz val="10"/>
      <color rgb="FF000080"/>
      <name val="Cambria"/>
      <family val="1"/>
      <scheme val="major"/>
    </font>
    <font>
      <b/>
      <sz val="20"/>
      <color rgb="FF000080"/>
      <name val="Cambria"/>
      <family val="1"/>
      <scheme val="major"/>
    </font>
    <font>
      <b/>
      <sz val="14"/>
      <color rgb="FF000080"/>
      <name val="Cambria"/>
      <family val="1"/>
      <scheme val="major"/>
    </font>
    <font>
      <u/>
      <sz val="11"/>
      <color rgb="FF000080"/>
      <name val="Cambria"/>
      <family val="1"/>
      <scheme val="major"/>
    </font>
    <font>
      <sz val="10"/>
      <name val="B Nazanin"/>
      <charset val="178"/>
    </font>
    <font>
      <sz val="10"/>
      <color theme="7" tint="-0.249977111117893"/>
      <name val="Cambria"/>
      <family val="1"/>
      <scheme val="major"/>
    </font>
    <font>
      <sz val="10"/>
      <color rgb="FFC00000"/>
      <name val="Cambria"/>
      <family val="1"/>
      <scheme val="major"/>
    </font>
    <font>
      <sz val="11"/>
      <color rgb="FFFF0000"/>
      <name val="Cambria"/>
      <family val="1"/>
      <scheme val="major"/>
    </font>
    <font>
      <b/>
      <sz val="12"/>
      <color theme="0"/>
      <name val="Cambria"/>
      <family val="1"/>
      <scheme val="major"/>
    </font>
    <font>
      <b/>
      <sz val="14"/>
      <color theme="5" tint="-0.249977111117893"/>
      <name val="Cambria"/>
      <family val="1"/>
      <scheme val="major"/>
    </font>
    <font>
      <sz val="10"/>
      <color rgb="FF7030A0"/>
      <name val="Cambria"/>
      <family val="1"/>
      <scheme val="major"/>
    </font>
    <font>
      <b/>
      <sz val="12"/>
      <color rgb="FF008000"/>
      <name val="Cambria"/>
      <family val="1"/>
      <scheme val="major"/>
    </font>
    <font>
      <sz val="11"/>
      <color theme="0"/>
      <name val="Cambria"/>
      <family val="1"/>
      <scheme val="major"/>
    </font>
    <font>
      <sz val="9"/>
      <color theme="0"/>
      <name val="Cambria"/>
      <family val="1"/>
      <scheme val="major"/>
    </font>
  </fonts>
  <fills count="15">
    <fill>
      <patternFill patternType="none"/>
    </fill>
    <fill>
      <patternFill patternType="gray125"/>
    </fill>
    <fill>
      <patternFill patternType="solid">
        <fgColor indexed="51"/>
        <bgColor indexed="64"/>
      </patternFill>
    </fill>
    <fill>
      <patternFill patternType="solid">
        <fgColor indexed="41"/>
        <bgColor indexed="64"/>
      </patternFill>
    </fill>
    <fill>
      <patternFill patternType="solid">
        <fgColor indexed="42"/>
        <bgColor indexed="64"/>
      </patternFill>
    </fill>
    <fill>
      <patternFill patternType="solid">
        <fgColor theme="4" tint="0.79998168889431442"/>
        <bgColor indexed="64"/>
      </patternFill>
    </fill>
    <fill>
      <patternFill patternType="solid">
        <fgColor rgb="FFD6E3BC"/>
        <bgColor indexed="64"/>
      </patternFill>
    </fill>
    <fill>
      <patternFill patternType="solid">
        <fgColor rgb="FFB8CCE4"/>
        <bgColor indexed="64"/>
      </patternFill>
    </fill>
    <fill>
      <patternFill patternType="solid">
        <fgColor rgb="FFCCC0D9"/>
        <bgColor indexed="64"/>
      </patternFill>
    </fill>
    <fill>
      <patternFill patternType="solid">
        <fgColor rgb="FFE5B8B7"/>
        <bgColor indexed="64"/>
      </patternFill>
    </fill>
    <fill>
      <patternFill patternType="solid">
        <fgColor rgb="FFB6DDE8"/>
        <bgColor indexed="64"/>
      </patternFill>
    </fill>
    <fill>
      <patternFill patternType="solid">
        <fgColor rgb="FFFBD4B4"/>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8" tint="0.79998168889431442"/>
        <bgColor indexed="64"/>
      </patternFill>
    </fill>
  </fills>
  <borders count="93">
    <border>
      <left/>
      <right/>
      <top/>
      <bottom/>
      <diagonal/>
    </border>
    <border>
      <left style="medium">
        <color indexed="64"/>
      </left>
      <right/>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indexed="64"/>
      </right>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auto="1"/>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dotted">
        <color auto="1"/>
      </left>
      <right/>
      <top/>
      <bottom/>
      <diagonal/>
    </border>
    <border>
      <left/>
      <right style="thin">
        <color auto="1"/>
      </right>
      <top/>
      <bottom/>
      <diagonal/>
    </border>
    <border>
      <left style="thin">
        <color auto="1"/>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s>
  <cellStyleXfs count="3">
    <xf numFmtId="0" fontId="0" fillId="0" borderId="0"/>
    <xf numFmtId="0" fontId="5" fillId="0" borderId="0" applyNumberFormat="0" applyFill="0" applyBorder="0" applyAlignment="0" applyProtection="0">
      <alignment vertical="top"/>
      <protection locked="0"/>
    </xf>
    <xf numFmtId="0" fontId="54" fillId="0" borderId="0"/>
  </cellStyleXfs>
  <cellXfs count="868">
    <xf numFmtId="0" fontId="0" fillId="0" borderId="0" xfId="0"/>
    <xf numFmtId="0" fontId="4" fillId="0" borderId="1" xfId="0" applyFont="1" applyBorder="1"/>
    <xf numFmtId="0" fontId="0" fillId="0" borderId="0" xfId="0" applyBorder="1"/>
    <xf numFmtId="0" fontId="0" fillId="0" borderId="1" xfId="0" applyBorder="1"/>
    <xf numFmtId="0" fontId="6" fillId="0" borderId="0" xfId="0" applyFont="1" applyAlignment="1" applyProtection="1">
      <alignment horizontal="center" vertical="distributed"/>
      <protection hidden="1"/>
    </xf>
    <xf numFmtId="0" fontId="0" fillId="0" borderId="0" xfId="0" applyProtection="1">
      <protection hidden="1"/>
    </xf>
    <xf numFmtId="0" fontId="6" fillId="0" borderId="0" xfId="0" applyFont="1" applyFill="1" applyBorder="1" applyAlignment="1" applyProtection="1">
      <alignment horizontal="center" vertical="distributed"/>
      <protection hidden="1"/>
    </xf>
    <xf numFmtId="0" fontId="1" fillId="0" borderId="0" xfId="0" applyFont="1" applyAlignment="1" applyProtection="1">
      <alignment horizontal="center" vertical="center"/>
      <protection hidden="1"/>
    </xf>
    <xf numFmtId="0" fontId="11" fillId="0" borderId="0" xfId="1" applyFont="1" applyAlignment="1" applyProtection="1">
      <alignment vertical="center"/>
      <protection hidden="1"/>
    </xf>
    <xf numFmtId="0" fontId="12" fillId="0" borderId="0" xfId="0" applyFont="1" applyFill="1" applyBorder="1" applyAlignment="1" applyProtection="1">
      <alignment horizontal="center" vertical="distributed"/>
      <protection hidden="1"/>
    </xf>
    <xf numFmtId="0" fontId="6"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0" fontId="9" fillId="0" borderId="0" xfId="1" applyFont="1" applyAlignment="1" applyProtection="1">
      <alignment vertical="center"/>
      <protection hidden="1"/>
    </xf>
    <xf numFmtId="0" fontId="7" fillId="0" borderId="2" xfId="0" applyFont="1" applyBorder="1" applyAlignment="1" applyProtection="1">
      <alignment horizontal="center" vertical="center"/>
      <protection hidden="1"/>
    </xf>
    <xf numFmtId="0" fontId="1" fillId="0" borderId="0" xfId="0" applyFont="1" applyAlignment="1" applyProtection="1">
      <alignment horizontal="left" vertical="center"/>
      <protection hidden="1"/>
    </xf>
    <xf numFmtId="0" fontId="12" fillId="0" borderId="0" xfId="0" applyFont="1" applyAlignment="1" applyProtection="1">
      <alignment horizontal="center" vertical="distributed"/>
      <protection hidden="1"/>
    </xf>
    <xf numFmtId="0" fontId="6" fillId="0" borderId="0" xfId="0" applyFont="1" applyAlignment="1" applyProtection="1">
      <alignment vertical="distributed"/>
      <protection hidden="1"/>
    </xf>
    <xf numFmtId="0" fontId="0" fillId="0" borderId="0" xfId="0" applyAlignment="1" applyProtection="1">
      <protection hidden="1"/>
    </xf>
    <xf numFmtId="0" fontId="0" fillId="0" borderId="0" xfId="0" applyFill="1" applyBorder="1" applyAlignment="1">
      <alignment horizontal="center"/>
    </xf>
    <xf numFmtId="0" fontId="6" fillId="0" borderId="0" xfId="0" applyFont="1" applyFill="1" applyBorder="1" applyAlignment="1">
      <alignment horizontal="center" vertical="distributed"/>
    </xf>
    <xf numFmtId="0" fontId="6" fillId="0" borderId="0" xfId="0" applyFont="1" applyFill="1" applyBorder="1" applyAlignment="1">
      <alignment horizontal="center" vertical="center"/>
    </xf>
    <xf numFmtId="0" fontId="0" fillId="0" borderId="0" xfId="0" applyAlignment="1" applyProtection="1">
      <alignment horizontal="center"/>
      <protection hidden="1"/>
    </xf>
    <xf numFmtId="0" fontId="19" fillId="0" borderId="0" xfId="0" applyFont="1" applyAlignment="1" applyProtection="1">
      <alignment horizontal="center" vertical="center"/>
      <protection hidden="1"/>
    </xf>
    <xf numFmtId="0" fontId="19" fillId="3" borderId="11" xfId="0" applyFont="1" applyFill="1" applyBorder="1" applyAlignment="1" applyProtection="1">
      <alignment horizontal="center" vertical="center"/>
      <protection hidden="1"/>
    </xf>
    <xf numFmtId="0" fontId="19" fillId="3" borderId="12" xfId="0" applyFont="1" applyFill="1" applyBorder="1" applyAlignment="1" applyProtection="1">
      <alignment horizontal="center" vertical="center"/>
      <protection hidden="1"/>
    </xf>
    <xf numFmtId="0" fontId="19" fillId="3" borderId="13" xfId="0" applyFont="1" applyFill="1" applyBorder="1" applyAlignment="1" applyProtection="1">
      <alignment horizontal="center" vertical="center"/>
      <protection hidden="1"/>
    </xf>
    <xf numFmtId="0" fontId="19" fillId="0" borderId="14" xfId="0" applyFont="1" applyBorder="1" applyAlignment="1" applyProtection="1">
      <alignment horizontal="center" vertical="center"/>
      <protection hidden="1"/>
    </xf>
    <xf numFmtId="0" fontId="19" fillId="0" borderId="15" xfId="0" applyFont="1" applyBorder="1" applyAlignment="1" applyProtection="1">
      <alignment horizontal="center" vertical="center"/>
      <protection hidden="1"/>
    </xf>
    <xf numFmtId="0" fontId="19" fillId="0" borderId="16" xfId="0" applyFont="1" applyBorder="1" applyAlignment="1" applyProtection="1">
      <alignment horizontal="center" vertical="center"/>
      <protection hidden="1"/>
    </xf>
    <xf numFmtId="0" fontId="19" fillId="3" borderId="17" xfId="0" applyFont="1" applyFill="1" applyBorder="1" applyAlignment="1" applyProtection="1">
      <alignment horizontal="center" vertical="center"/>
      <protection hidden="1"/>
    </xf>
    <xf numFmtId="0" fontId="19" fillId="3" borderId="18" xfId="0" applyFont="1" applyFill="1" applyBorder="1" applyAlignment="1" applyProtection="1">
      <alignment horizontal="center" vertical="center"/>
      <protection hidden="1"/>
    </xf>
    <xf numFmtId="0" fontId="19" fillId="3" borderId="19" xfId="0" applyFont="1" applyFill="1" applyBorder="1" applyAlignment="1" applyProtection="1">
      <alignment horizontal="center" vertical="center"/>
      <protection hidden="1"/>
    </xf>
    <xf numFmtId="0" fontId="19" fillId="3" borderId="15" xfId="0" applyFont="1" applyFill="1" applyBorder="1" applyAlignment="1" applyProtection="1">
      <alignment horizontal="center" vertical="center"/>
      <protection hidden="1"/>
    </xf>
    <xf numFmtId="0" fontId="19" fillId="3" borderId="16" xfId="0" applyFont="1" applyFill="1" applyBorder="1" applyAlignment="1" applyProtection="1">
      <alignment horizontal="center" vertical="center"/>
      <protection hidden="1"/>
    </xf>
    <xf numFmtId="0" fontId="19" fillId="0" borderId="0" xfId="0" applyFont="1" applyAlignment="1" applyProtection="1">
      <alignment vertical="center"/>
      <protection hidden="1"/>
    </xf>
    <xf numFmtId="0" fontId="19" fillId="0" borderId="0" xfId="0" applyFont="1" applyAlignment="1" applyProtection="1">
      <alignment horizontal="center" vertical="distributed"/>
      <protection hidden="1"/>
    </xf>
    <xf numFmtId="0" fontId="19" fillId="2" borderId="20" xfId="0" applyFont="1" applyFill="1" applyBorder="1" applyAlignment="1" applyProtection="1">
      <alignment horizontal="center" vertical="center"/>
      <protection hidden="1"/>
    </xf>
    <xf numFmtId="0" fontId="19" fillId="2" borderId="21" xfId="0" applyFont="1" applyFill="1" applyBorder="1" applyAlignment="1" applyProtection="1">
      <alignment horizontal="center" vertical="center"/>
      <protection hidden="1"/>
    </xf>
    <xf numFmtId="0" fontId="19" fillId="2" borderId="18" xfId="0" applyFont="1" applyFill="1" applyBorder="1" applyAlignment="1" applyProtection="1">
      <alignment horizontal="center" vertical="center"/>
      <protection hidden="1"/>
    </xf>
    <xf numFmtId="0" fontId="19" fillId="2" borderId="19" xfId="0" applyFont="1" applyFill="1" applyBorder="1" applyAlignment="1" applyProtection="1">
      <alignment horizontal="center" vertical="center"/>
      <protection hidden="1"/>
    </xf>
    <xf numFmtId="0" fontId="19" fillId="3" borderId="14" xfId="0" applyFont="1" applyFill="1" applyBorder="1" applyAlignment="1" applyProtection="1">
      <alignment horizontal="center" vertical="center"/>
      <protection hidden="1"/>
    </xf>
    <xf numFmtId="0" fontId="4" fillId="0" borderId="0" xfId="0" applyFont="1" applyAlignment="1" applyProtection="1">
      <alignment horizontal="center" vertical="center"/>
      <protection hidden="1"/>
    </xf>
    <xf numFmtId="0" fontId="27" fillId="0" borderId="0" xfId="0" applyFont="1" applyAlignment="1">
      <alignment horizontal="center" vertical="center"/>
    </xf>
    <xf numFmtId="0" fontId="28" fillId="0" borderId="0" xfId="0" applyFont="1" applyAlignment="1" applyProtection="1">
      <alignment vertical="center"/>
      <protection hidden="1"/>
    </xf>
    <xf numFmtId="0" fontId="29" fillId="0" borderId="0" xfId="0" applyFont="1" applyAlignment="1">
      <alignment horizontal="center" vertical="center"/>
    </xf>
    <xf numFmtId="0" fontId="30"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0" fontId="30" fillId="0" borderId="0" xfId="0" applyFont="1" applyAlignment="1" applyProtection="1">
      <alignment horizontal="center" vertical="center"/>
      <protection hidden="1"/>
    </xf>
    <xf numFmtId="0" fontId="30" fillId="0" borderId="0" xfId="0" applyFont="1" applyFill="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25" fillId="0" borderId="0" xfId="0" applyFont="1" applyAlignment="1" applyProtection="1">
      <alignment horizontal="center" vertical="center"/>
      <protection hidden="1"/>
    </xf>
    <xf numFmtId="0" fontId="29" fillId="5" borderId="79" xfId="0" applyFont="1" applyFill="1" applyBorder="1" applyAlignment="1" applyProtection="1">
      <alignment vertical="center"/>
      <protection hidden="1"/>
    </xf>
    <xf numFmtId="0" fontId="33" fillId="0" borderId="0" xfId="0" applyFont="1" applyAlignment="1" applyProtection="1">
      <alignment horizontal="center" vertical="center"/>
      <protection hidden="1"/>
    </xf>
    <xf numFmtId="0" fontId="25" fillId="0" borderId="0" xfId="0" applyFont="1" applyAlignment="1" applyProtection="1">
      <alignment horizontal="left"/>
      <protection hidden="1"/>
    </xf>
    <xf numFmtId="0" fontId="26" fillId="0" borderId="0" xfId="0" applyFont="1" applyAlignment="1" applyProtection="1">
      <alignment vertical="center"/>
      <protection hidden="1"/>
    </xf>
    <xf numFmtId="0" fontId="27" fillId="0" borderId="0" xfId="0" applyFont="1"/>
    <xf numFmtId="0" fontId="27" fillId="0" borderId="0" xfId="0" applyFont="1" applyAlignment="1" applyProtection="1">
      <alignment vertical="center"/>
      <protection hidden="1"/>
    </xf>
    <xf numFmtId="0" fontId="27" fillId="0" borderId="0" xfId="0" applyFont="1" applyAlignment="1" applyProtection="1">
      <alignment horizontal="center" vertical="distributed"/>
      <protection hidden="1"/>
    </xf>
    <xf numFmtId="0" fontId="39" fillId="0" borderId="0" xfId="0" applyFont="1" applyAlignment="1" applyProtection="1">
      <alignment horizontal="center" vertical="center"/>
      <protection hidden="1"/>
    </xf>
    <xf numFmtId="0" fontId="40" fillId="0" borderId="0" xfId="1" applyFont="1" applyAlignment="1" applyProtection="1">
      <alignment vertical="center"/>
      <protection hidden="1"/>
    </xf>
    <xf numFmtId="165" fontId="41" fillId="0" borderId="0" xfId="0" applyNumberFormat="1" applyFont="1" applyFill="1" applyBorder="1" applyAlignment="1" applyProtection="1">
      <alignment horizontal="center" vertical="distributed"/>
      <protection hidden="1"/>
    </xf>
    <xf numFmtId="170" fontId="41" fillId="0" borderId="0" xfId="0" applyNumberFormat="1" applyFont="1" applyFill="1" applyBorder="1" applyAlignment="1" applyProtection="1">
      <alignment horizontal="center" vertical="distributed"/>
      <protection hidden="1"/>
    </xf>
    <xf numFmtId="0" fontId="29" fillId="0" borderId="0" xfId="0" applyFont="1" applyAlignment="1" applyProtection="1">
      <alignment horizontal="center" vertical="center"/>
      <protection hidden="1"/>
    </xf>
    <xf numFmtId="0" fontId="39" fillId="0" borderId="0" xfId="0" applyFont="1" applyAlignment="1" applyProtection="1">
      <alignment horizontal="left" vertical="center"/>
      <protection hidden="1"/>
    </xf>
    <xf numFmtId="0" fontId="39" fillId="0" borderId="0" xfId="0" applyFont="1" applyAlignment="1" applyProtection="1">
      <alignment horizontal="center" vertical="distributed"/>
      <protection hidden="1"/>
    </xf>
    <xf numFmtId="0" fontId="42" fillId="0" borderId="0" xfId="0" applyFont="1" applyBorder="1" applyAlignment="1">
      <alignment vertical="center"/>
    </xf>
    <xf numFmtId="0" fontId="42" fillId="0" borderId="0" xfId="0" applyFont="1" applyBorder="1" applyAlignment="1">
      <alignment vertical="center" wrapText="1"/>
    </xf>
    <xf numFmtId="0" fontId="30" fillId="0" borderId="0" xfId="0" applyFont="1"/>
    <xf numFmtId="0" fontId="29" fillId="2" borderId="5" xfId="0" applyFont="1" applyFill="1" applyBorder="1" applyAlignment="1">
      <alignment vertical="center"/>
    </xf>
    <xf numFmtId="0" fontId="29" fillId="2" borderId="6" xfId="0" applyFont="1" applyFill="1" applyBorder="1" applyAlignment="1">
      <alignment vertical="center"/>
    </xf>
    <xf numFmtId="0" fontId="30" fillId="0" borderId="7" xfId="0" applyFont="1" applyBorder="1" applyAlignment="1">
      <alignment horizontal="center" vertical="center"/>
    </xf>
    <xf numFmtId="0" fontId="30" fillId="0" borderId="8" xfId="0" applyFont="1" applyBorder="1" applyAlignment="1">
      <alignment horizontal="center" vertical="center"/>
    </xf>
    <xf numFmtId="0" fontId="45" fillId="0" borderId="0" xfId="0" applyFont="1" applyAlignment="1" applyProtection="1">
      <alignment horizontal="center" vertical="center"/>
      <protection hidden="1"/>
    </xf>
    <xf numFmtId="0" fontId="45" fillId="0" borderId="0" xfId="0" applyFont="1" applyAlignment="1" applyProtection="1">
      <alignment horizontal="center" vertical="distributed"/>
      <protection hidden="1"/>
    </xf>
    <xf numFmtId="0" fontId="42" fillId="0" borderId="0" xfId="0" applyFont="1" applyAlignment="1" applyProtection="1">
      <alignment horizontal="center" vertical="center"/>
      <protection hidden="1"/>
    </xf>
    <xf numFmtId="0" fontId="50" fillId="0" borderId="0" xfId="0" applyFont="1" applyAlignment="1" applyProtection="1">
      <alignment vertical="center"/>
      <protection hidden="1"/>
    </xf>
    <xf numFmtId="0" fontId="51" fillId="0" borderId="0" xfId="0" applyFont="1" applyAlignment="1" applyProtection="1">
      <alignment vertical="center"/>
      <protection hidden="1"/>
    </xf>
    <xf numFmtId="0" fontId="0" fillId="0" borderId="0" xfId="0" applyProtection="1">
      <protection hidden="1"/>
    </xf>
    <xf numFmtId="2" fontId="51" fillId="0" borderId="0" xfId="0" applyNumberFormat="1" applyFont="1" applyAlignment="1" applyProtection="1">
      <alignment vertical="center"/>
      <protection hidden="1"/>
    </xf>
    <xf numFmtId="0" fontId="0" fillId="0" borderId="0" xfId="0" applyProtection="1">
      <protection hidden="1"/>
    </xf>
    <xf numFmtId="0" fontId="45" fillId="0" borderId="0" xfId="0" applyFont="1" applyAlignment="1" applyProtection="1">
      <alignment horizontal="left" vertical="center"/>
      <protection hidden="1"/>
    </xf>
    <xf numFmtId="0" fontId="58" fillId="0" borderId="0" xfId="0" applyFont="1" applyAlignment="1" applyProtection="1">
      <alignment horizontal="center" vertical="center" wrapText="1"/>
      <protection hidden="1"/>
    </xf>
    <xf numFmtId="0" fontId="58" fillId="0" borderId="0" xfId="0" applyFont="1" applyAlignment="1" applyProtection="1">
      <alignment horizontal="center" vertical="center"/>
      <protection hidden="1"/>
    </xf>
    <xf numFmtId="0" fontId="60" fillId="0" borderId="0" xfId="0" applyFont="1" applyAlignment="1" applyProtection="1">
      <alignment horizontal="center" vertical="center" wrapText="1"/>
      <protection hidden="1"/>
    </xf>
    <xf numFmtId="0" fontId="56" fillId="6" borderId="54" xfId="0" applyFont="1" applyFill="1" applyBorder="1" applyAlignment="1" applyProtection="1">
      <alignment horizontal="center" vertical="center" wrapText="1"/>
      <protection hidden="1"/>
    </xf>
    <xf numFmtId="0" fontId="55" fillId="6" borderId="23" xfId="0" applyFont="1" applyFill="1" applyBorder="1" applyAlignment="1" applyProtection="1">
      <alignment horizontal="center" vertical="center" wrapText="1"/>
      <protection hidden="1"/>
    </xf>
    <xf numFmtId="0" fontId="55" fillId="6" borderId="60" xfId="0" applyFont="1" applyFill="1" applyBorder="1" applyAlignment="1" applyProtection="1">
      <alignment horizontal="center" vertical="center" wrapText="1"/>
      <protection hidden="1"/>
    </xf>
    <xf numFmtId="0" fontId="57" fillId="0" borderId="14" xfId="0" applyFont="1" applyBorder="1" applyAlignment="1" applyProtection="1">
      <alignment horizontal="center" vertical="center" wrapText="1"/>
      <protection hidden="1"/>
    </xf>
    <xf numFmtId="0" fontId="57" fillId="0" borderId="15" xfId="0" applyFont="1" applyBorder="1" applyAlignment="1" applyProtection="1">
      <alignment horizontal="center" vertical="center" wrapText="1"/>
      <protection hidden="1"/>
    </xf>
    <xf numFmtId="0" fontId="57" fillId="0" borderId="16" xfId="0" applyFont="1" applyBorder="1" applyAlignment="1" applyProtection="1">
      <alignment horizontal="center" vertical="center" wrapText="1"/>
      <protection hidden="1"/>
    </xf>
    <xf numFmtId="0" fontId="57" fillId="0" borderId="17" xfId="0" applyFont="1" applyBorder="1" applyAlignment="1" applyProtection="1">
      <alignment horizontal="center" vertical="center" wrapText="1"/>
      <protection hidden="1"/>
    </xf>
    <xf numFmtId="0" fontId="57" fillId="0" borderId="18" xfId="0" applyFont="1" applyBorder="1" applyAlignment="1" applyProtection="1">
      <alignment horizontal="center" vertical="center" wrapText="1"/>
      <protection hidden="1"/>
    </xf>
    <xf numFmtId="0" fontId="57" fillId="0" borderId="19" xfId="0" applyFont="1" applyBorder="1" applyAlignment="1" applyProtection="1">
      <alignment horizontal="center" vertical="center" wrapText="1"/>
      <protection hidden="1"/>
    </xf>
    <xf numFmtId="0" fontId="63" fillId="0" borderId="0" xfId="0" applyFont="1" applyProtection="1">
      <protection hidden="1"/>
    </xf>
    <xf numFmtId="0" fontId="27" fillId="0" borderId="0" xfId="0" applyFont="1" applyBorder="1" applyProtection="1">
      <protection hidden="1"/>
    </xf>
    <xf numFmtId="0" fontId="27" fillId="0" borderId="0" xfId="0" applyFont="1" applyFill="1" applyBorder="1" applyAlignment="1" applyProtection="1">
      <alignment horizontal="center" vertical="center"/>
      <protection hidden="1"/>
    </xf>
    <xf numFmtId="0" fontId="57" fillId="0" borderId="70" xfId="0" applyFont="1" applyBorder="1" applyAlignment="1" applyProtection="1">
      <alignment horizontal="center" vertical="center" wrapText="1"/>
      <protection hidden="1"/>
    </xf>
    <xf numFmtId="0" fontId="57" fillId="0" borderId="28" xfId="0" applyFont="1" applyBorder="1" applyAlignment="1" applyProtection="1">
      <alignment horizontal="center" vertical="center" wrapText="1"/>
      <protection hidden="1"/>
    </xf>
    <xf numFmtId="0" fontId="57" fillId="0" borderId="71" xfId="0" applyFont="1" applyBorder="1" applyAlignment="1" applyProtection="1">
      <alignment horizontal="center" vertical="center" wrapText="1"/>
      <protection hidden="1"/>
    </xf>
    <xf numFmtId="0" fontId="57" fillId="0" borderId="47" xfId="0" applyFont="1" applyBorder="1" applyAlignment="1" applyProtection="1">
      <alignment horizontal="center" vertical="center" wrapText="1"/>
      <protection hidden="1"/>
    </xf>
    <xf numFmtId="0" fontId="57" fillId="0" borderId="11" xfId="0" applyFont="1" applyBorder="1" applyAlignment="1" applyProtection="1">
      <alignment horizontal="center" vertical="center" wrapText="1"/>
      <protection hidden="1"/>
    </xf>
    <xf numFmtId="0" fontId="57" fillId="0" borderId="74" xfId="0" applyFont="1" applyBorder="1" applyAlignment="1" applyProtection="1">
      <alignment horizontal="center" vertical="center" wrapText="1"/>
      <protection hidden="1"/>
    </xf>
    <xf numFmtId="0" fontId="57" fillId="0" borderId="12" xfId="0" applyFont="1" applyBorder="1" applyAlignment="1" applyProtection="1">
      <alignment horizontal="center" vertical="center" wrapText="1"/>
      <protection hidden="1"/>
    </xf>
    <xf numFmtId="0" fontId="57" fillId="0" borderId="64" xfId="0" applyFont="1" applyBorder="1" applyAlignment="1" applyProtection="1">
      <alignment horizontal="center" vertical="center" wrapText="1"/>
      <protection hidden="1"/>
    </xf>
    <xf numFmtId="0" fontId="57" fillId="0" borderId="13" xfId="0" applyFont="1" applyBorder="1" applyAlignment="1" applyProtection="1">
      <alignment horizontal="center" vertical="center" wrapText="1"/>
      <protection hidden="1"/>
    </xf>
    <xf numFmtId="49" fontId="65" fillId="0" borderId="66" xfId="0" applyNumberFormat="1" applyFont="1" applyBorder="1" applyAlignment="1" applyProtection="1">
      <alignment horizontal="center"/>
      <protection hidden="1"/>
    </xf>
    <xf numFmtId="49" fontId="65" fillId="0" borderId="14" xfId="0" applyNumberFormat="1" applyFont="1" applyBorder="1" applyAlignment="1" applyProtection="1">
      <alignment horizontal="center"/>
      <protection hidden="1"/>
    </xf>
    <xf numFmtId="49" fontId="65" fillId="0" borderId="17" xfId="0" applyNumberFormat="1" applyFont="1" applyBorder="1" applyAlignment="1" applyProtection="1">
      <alignment horizontal="center"/>
      <protection hidden="1"/>
    </xf>
    <xf numFmtId="0" fontId="30" fillId="6" borderId="67" xfId="0" applyFont="1" applyFill="1" applyBorder="1" applyAlignment="1" applyProtection="1">
      <alignment horizontal="center" vertical="center" wrapText="1" readingOrder="1"/>
      <protection hidden="1"/>
    </xf>
    <xf numFmtId="0" fontId="30" fillId="6" borderId="54" xfId="0" applyFont="1" applyFill="1" applyBorder="1" applyAlignment="1" applyProtection="1">
      <alignment horizontal="center" vertical="center" wrapText="1" readingOrder="1"/>
      <protection hidden="1"/>
    </xf>
    <xf numFmtId="0" fontId="27" fillId="6" borderId="18" xfId="0" applyFont="1" applyFill="1" applyBorder="1" applyAlignment="1" applyProtection="1">
      <alignment horizontal="center" vertical="center" wrapText="1" readingOrder="1"/>
      <protection hidden="1"/>
    </xf>
    <xf numFmtId="0" fontId="27" fillId="6" borderId="23" xfId="0" applyFont="1" applyFill="1" applyBorder="1" applyAlignment="1" applyProtection="1">
      <alignment horizontal="center" vertical="center" wrapText="1" readingOrder="1"/>
      <protection hidden="1"/>
    </xf>
    <xf numFmtId="0" fontId="0" fillId="0" borderId="33" xfId="0" applyBorder="1" applyProtection="1">
      <protection hidden="1"/>
    </xf>
    <xf numFmtId="0" fontId="0" fillId="0" borderId="34" xfId="0" applyBorder="1" applyProtection="1">
      <protection hidden="1"/>
    </xf>
    <xf numFmtId="0" fontId="27" fillId="0" borderId="11" xfId="0" applyFont="1" applyBorder="1" applyAlignment="1" applyProtection="1">
      <alignment horizontal="center" vertical="center" wrapText="1" readingOrder="1"/>
      <protection hidden="1"/>
    </xf>
    <xf numFmtId="0" fontId="27" fillId="0" borderId="12" xfId="0" applyFont="1" applyBorder="1" applyAlignment="1" applyProtection="1">
      <alignment horizontal="center" vertical="center" wrapText="1" readingOrder="1"/>
      <protection hidden="1"/>
    </xf>
    <xf numFmtId="0" fontId="27" fillId="0" borderId="13" xfId="0" applyFont="1" applyBorder="1" applyAlignment="1" applyProtection="1">
      <alignment horizontal="center" vertical="center" wrapText="1" readingOrder="1"/>
      <protection hidden="1"/>
    </xf>
    <xf numFmtId="0" fontId="0" fillId="0" borderId="1" xfId="0" applyBorder="1" applyProtection="1">
      <protection hidden="1"/>
    </xf>
    <xf numFmtId="0" fontId="0" fillId="0" borderId="31" xfId="0" applyBorder="1" applyProtection="1">
      <protection hidden="1"/>
    </xf>
    <xf numFmtId="0" fontId="27" fillId="0" borderId="14" xfId="0" applyFont="1" applyBorder="1" applyAlignment="1" applyProtection="1">
      <alignment horizontal="center" vertical="center" wrapText="1" readingOrder="1"/>
      <protection hidden="1"/>
    </xf>
    <xf numFmtId="0" fontId="27" fillId="0" borderId="15" xfId="0" applyFont="1" applyBorder="1" applyAlignment="1" applyProtection="1">
      <alignment horizontal="center" vertical="center" wrapText="1" readingOrder="1"/>
      <protection hidden="1"/>
    </xf>
    <xf numFmtId="0" fontId="27" fillId="0" borderId="16" xfId="0" applyFont="1" applyBorder="1" applyAlignment="1" applyProtection="1">
      <alignment horizontal="center" vertical="center" wrapText="1" readingOrder="1"/>
      <protection hidden="1"/>
    </xf>
    <xf numFmtId="0" fontId="0" fillId="0" borderId="35" xfId="0" applyBorder="1" applyProtection="1">
      <protection hidden="1"/>
    </xf>
    <xf numFmtId="0" fontId="0" fillId="0" borderId="36" xfId="0" applyBorder="1" applyProtection="1">
      <protection hidden="1"/>
    </xf>
    <xf numFmtId="0" fontId="27" fillId="0" borderId="53" xfId="0" applyFont="1" applyBorder="1" applyAlignment="1" applyProtection="1">
      <alignment horizontal="center" vertical="center" wrapText="1" readingOrder="1"/>
      <protection hidden="1"/>
    </xf>
    <xf numFmtId="0" fontId="27" fillId="0" borderId="37" xfId="0" applyFont="1" applyBorder="1" applyAlignment="1" applyProtection="1">
      <alignment vertical="center" wrapText="1"/>
      <protection hidden="1"/>
    </xf>
    <xf numFmtId="0" fontId="27" fillId="0" borderId="37" xfId="0" applyFont="1" applyBorder="1" applyAlignment="1" applyProtection="1">
      <alignment horizontal="center" vertical="center" wrapText="1" readingOrder="1"/>
      <protection hidden="1"/>
    </xf>
    <xf numFmtId="0" fontId="27" fillId="0" borderId="38" xfId="0" applyFont="1" applyBorder="1" applyAlignment="1" applyProtection="1">
      <alignment horizontal="center" vertical="center" wrapText="1" readingOrder="1"/>
      <protection hidden="1"/>
    </xf>
    <xf numFmtId="49" fontId="27" fillId="0" borderId="67" xfId="0" applyNumberFormat="1" applyFont="1" applyBorder="1" applyProtection="1">
      <protection hidden="1"/>
    </xf>
    <xf numFmtId="49" fontId="27" fillId="0" borderId="15" xfId="0" applyNumberFormat="1" applyFont="1" applyBorder="1" applyProtection="1">
      <protection hidden="1"/>
    </xf>
    <xf numFmtId="0" fontId="61" fillId="0" borderId="56" xfId="0" applyFont="1" applyBorder="1" applyAlignment="1" applyProtection="1">
      <alignment horizontal="center" vertical="center" wrapText="1" readingOrder="1"/>
      <protection hidden="1"/>
    </xf>
    <xf numFmtId="0" fontId="30" fillId="0" borderId="56" xfId="0" applyFont="1" applyBorder="1" applyAlignment="1" applyProtection="1">
      <alignment vertical="center" wrapText="1" readingOrder="1"/>
      <protection hidden="1"/>
    </xf>
    <xf numFmtId="0" fontId="27" fillId="0" borderId="56" xfId="0" applyFont="1" applyBorder="1" applyAlignment="1" applyProtection="1">
      <alignment vertical="center" wrapText="1" readingOrder="2"/>
      <protection hidden="1"/>
    </xf>
    <xf numFmtId="49" fontId="27" fillId="0" borderId="18" xfId="0" applyNumberFormat="1" applyFont="1" applyBorder="1" applyProtection="1">
      <protection hidden="1"/>
    </xf>
    <xf numFmtId="0" fontId="30" fillId="0" borderId="37" xfId="0" applyFont="1" applyBorder="1" applyAlignment="1" applyProtection="1">
      <alignment vertical="center" wrapText="1" readingOrder="1"/>
      <protection hidden="1"/>
    </xf>
    <xf numFmtId="0" fontId="27" fillId="0" borderId="37" xfId="0" applyFont="1" applyBorder="1" applyAlignment="1" applyProtection="1">
      <alignment vertical="center" wrapText="1" readingOrder="2"/>
      <protection hidden="1"/>
    </xf>
    <xf numFmtId="0" fontId="0" fillId="0" borderId="65" xfId="0" applyBorder="1" applyAlignment="1" applyProtection="1">
      <protection hidden="1"/>
    </xf>
    <xf numFmtId="0" fontId="54" fillId="0" borderId="0" xfId="0" applyFont="1" applyProtection="1">
      <protection hidden="1"/>
    </xf>
    <xf numFmtId="0" fontId="0" fillId="0" borderId="0" xfId="0" applyBorder="1" applyAlignment="1" applyProtection="1">
      <protection hidden="1"/>
    </xf>
    <xf numFmtId="0" fontId="30" fillId="0" borderId="0" xfId="0" applyFont="1" applyAlignment="1" applyProtection="1">
      <alignment horizontal="center" vertical="center"/>
      <protection hidden="1"/>
    </xf>
    <xf numFmtId="0" fontId="29" fillId="0" borderId="0" xfId="0" applyFont="1" applyAlignment="1" applyProtection="1">
      <alignment horizontal="center" vertical="center"/>
      <protection hidden="1"/>
    </xf>
    <xf numFmtId="0" fontId="29" fillId="0" borderId="0" xfId="0" applyFont="1" applyAlignment="1">
      <alignment horizontal="center" vertical="center"/>
    </xf>
    <xf numFmtId="0" fontId="68" fillId="0" borderId="0" xfId="0" applyFont="1" applyAlignment="1">
      <alignment vertical="center"/>
    </xf>
    <xf numFmtId="0" fontId="69" fillId="0" borderId="0" xfId="0" applyFont="1" applyAlignment="1">
      <alignment vertical="center"/>
    </xf>
    <xf numFmtId="0" fontId="70" fillId="0" borderId="0" xfId="0" applyFont="1" applyAlignment="1">
      <alignment horizontal="center" vertical="center"/>
    </xf>
    <xf numFmtId="0" fontId="57" fillId="0" borderId="7" xfId="0" applyFont="1" applyBorder="1" applyAlignment="1" applyProtection="1">
      <alignment horizontal="center" vertical="center" wrapText="1"/>
      <protection hidden="1"/>
    </xf>
    <xf numFmtId="0" fontId="57" fillId="0" borderId="25" xfId="0" applyFont="1" applyBorder="1" applyAlignment="1" applyProtection="1">
      <alignment horizontal="center" vertical="center" wrapText="1"/>
      <protection hidden="1"/>
    </xf>
    <xf numFmtId="0" fontId="57" fillId="0" borderId="45" xfId="0" applyFont="1" applyBorder="1" applyAlignment="1" applyProtection="1">
      <alignment horizontal="center" vertical="center" wrapText="1"/>
      <protection hidden="1"/>
    </xf>
    <xf numFmtId="167" fontId="57" fillId="0" borderId="64" xfId="0" applyNumberFormat="1" applyFont="1" applyBorder="1" applyAlignment="1" applyProtection="1">
      <alignment horizontal="center" vertical="center" wrapText="1"/>
      <protection hidden="1"/>
    </xf>
    <xf numFmtId="167" fontId="57" fillId="0" borderId="71" xfId="0" applyNumberFormat="1" applyFont="1" applyBorder="1" applyAlignment="1" applyProtection="1">
      <alignment horizontal="center" vertical="center" wrapText="1"/>
      <protection hidden="1"/>
    </xf>
    <xf numFmtId="167" fontId="57" fillId="0" borderId="47" xfId="0" applyNumberFormat="1" applyFont="1" applyBorder="1" applyAlignment="1" applyProtection="1">
      <alignment horizontal="center" vertical="center" wrapText="1"/>
      <protection hidden="1"/>
    </xf>
    <xf numFmtId="0" fontId="54" fillId="0" borderId="0" xfId="0" applyFont="1"/>
    <xf numFmtId="0" fontId="57" fillId="0" borderId="0" xfId="0" applyFont="1" applyBorder="1" applyAlignment="1" applyProtection="1">
      <alignment horizontal="center" vertical="center" wrapText="1"/>
      <protection hidden="1"/>
    </xf>
    <xf numFmtId="0" fontId="37" fillId="0" borderId="0" xfId="0" applyFont="1" applyBorder="1" applyProtection="1">
      <protection hidden="1"/>
    </xf>
    <xf numFmtId="0" fontId="26" fillId="0" borderId="0" xfId="0" applyFont="1" applyBorder="1" applyAlignment="1" applyProtection="1">
      <alignment vertical="center"/>
      <protection hidden="1"/>
    </xf>
    <xf numFmtId="0" fontId="29" fillId="0" borderId="29" xfId="0" applyFont="1" applyBorder="1" applyAlignment="1" applyProtection="1">
      <alignment horizontal="center" vertical="center"/>
      <protection hidden="1"/>
    </xf>
    <xf numFmtId="0" fontId="30" fillId="2" borderId="44" xfId="0" applyFont="1" applyFill="1" applyBorder="1" applyAlignment="1" applyProtection="1">
      <alignment horizontal="left" vertical="center"/>
      <protection hidden="1"/>
    </xf>
    <xf numFmtId="0" fontId="34" fillId="0" borderId="0" xfId="0" applyFont="1" applyBorder="1" applyAlignment="1" applyProtection="1">
      <alignment vertical="center"/>
      <protection hidden="1"/>
    </xf>
    <xf numFmtId="0" fontId="30" fillId="0" borderId="40" xfId="0" applyFont="1" applyFill="1" applyBorder="1" applyAlignment="1" applyProtection="1">
      <alignment horizontal="left" vertical="center"/>
      <protection hidden="1"/>
    </xf>
    <xf numFmtId="0" fontId="30" fillId="2" borderId="40" xfId="0" applyFont="1" applyFill="1" applyBorder="1" applyAlignment="1" applyProtection="1">
      <alignment horizontal="left" vertical="center"/>
      <protection hidden="1"/>
    </xf>
    <xf numFmtId="0" fontId="30" fillId="2" borderId="42" xfId="0" applyFont="1" applyFill="1" applyBorder="1" applyAlignment="1" applyProtection="1">
      <alignment horizontal="left" vertical="center"/>
      <protection hidden="1"/>
    </xf>
    <xf numFmtId="0" fontId="50" fillId="0" borderId="0" xfId="0" applyFont="1" applyBorder="1" applyAlignment="1" applyProtection="1">
      <alignment vertical="center"/>
      <protection hidden="1"/>
    </xf>
    <xf numFmtId="0" fontId="51" fillId="0" borderId="0" xfId="0" applyFont="1" applyBorder="1" applyAlignment="1" applyProtection="1">
      <alignment vertical="center"/>
      <protection hidden="1"/>
    </xf>
    <xf numFmtId="2" fontId="51" fillId="0" borderId="0" xfId="0" applyNumberFormat="1" applyFont="1" applyBorder="1" applyAlignment="1" applyProtection="1">
      <alignment vertical="center"/>
      <protection hidden="1"/>
    </xf>
    <xf numFmtId="0" fontId="76" fillId="0" borderId="0" xfId="0" applyFont="1" applyAlignment="1">
      <alignment vertical="top"/>
    </xf>
    <xf numFmtId="0" fontId="27" fillId="0" borderId="0" xfId="0" applyFont="1" applyAlignment="1" applyProtection="1">
      <alignment horizontal="center" vertical="center"/>
      <protection hidden="1"/>
    </xf>
    <xf numFmtId="0" fontId="29" fillId="0" borderId="0" xfId="0" applyFont="1" applyAlignment="1" applyProtection="1">
      <alignment horizontal="center" vertical="center"/>
      <protection hidden="1"/>
    </xf>
    <xf numFmtId="0" fontId="29" fillId="0" borderId="0" xfId="0" applyFont="1" applyAlignment="1" applyProtection="1">
      <alignment horizontal="center" vertical="center"/>
      <protection hidden="1"/>
    </xf>
    <xf numFmtId="0" fontId="29" fillId="0" borderId="0" xfId="0" applyFont="1" applyAlignment="1">
      <alignment horizontal="center" vertical="center"/>
    </xf>
    <xf numFmtId="0" fontId="30" fillId="0" borderId="0" xfId="0" applyFont="1" applyBorder="1" applyAlignment="1" applyProtection="1">
      <alignment vertical="top"/>
      <protection hidden="1"/>
    </xf>
    <xf numFmtId="0" fontId="30" fillId="0" borderId="0" xfId="0" applyFont="1" applyAlignment="1" applyProtection="1">
      <alignment horizontal="center" vertical="center"/>
      <protection hidden="1"/>
    </xf>
    <xf numFmtId="0" fontId="30" fillId="0" borderId="0" xfId="0" applyFont="1" applyAlignment="1" applyProtection="1">
      <alignment horizontal="center" vertical="center"/>
      <protection hidden="1"/>
    </xf>
    <xf numFmtId="0" fontId="74" fillId="0" borderId="0" xfId="1" applyFont="1" applyAlignment="1" applyProtection="1">
      <alignment horizontal="center" vertical="center"/>
      <protection hidden="1"/>
    </xf>
    <xf numFmtId="0" fontId="29" fillId="0" borderId="0" xfId="0" applyFont="1" applyAlignment="1" applyProtection="1">
      <alignment horizontal="center" vertical="center"/>
      <protection hidden="1"/>
    </xf>
    <xf numFmtId="0" fontId="29" fillId="0" borderId="0" xfId="0" applyFont="1" applyAlignment="1">
      <alignment horizontal="center" vertical="center"/>
    </xf>
    <xf numFmtId="0" fontId="27" fillId="0" borderId="0"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0" fillId="0" borderId="0" xfId="1" applyFont="1" applyAlignment="1" applyProtection="1">
      <alignment vertical="center"/>
      <protection hidden="1"/>
    </xf>
    <xf numFmtId="0" fontId="40" fillId="0" borderId="1" xfId="1" applyFont="1" applyBorder="1" applyAlignment="1" applyProtection="1">
      <alignment vertical="center"/>
      <protection hidden="1"/>
    </xf>
    <xf numFmtId="0" fontId="75" fillId="0" borderId="3" xfId="0" applyFont="1" applyBorder="1" applyAlignment="1" applyProtection="1">
      <alignment horizontal="left" vertical="center"/>
      <protection hidden="1"/>
    </xf>
    <xf numFmtId="173" fontId="46" fillId="0" borderId="15" xfId="0" applyNumberFormat="1" applyFont="1" applyBorder="1" applyAlignment="1" applyProtection="1">
      <alignment horizontal="center" vertical="center"/>
      <protection hidden="1"/>
    </xf>
    <xf numFmtId="170" fontId="27" fillId="0" borderId="0" xfId="0" applyNumberFormat="1" applyFont="1" applyBorder="1" applyAlignment="1" applyProtection="1">
      <alignment horizontal="center" vertical="center"/>
      <protection hidden="1"/>
    </xf>
    <xf numFmtId="172" fontId="73" fillId="0" borderId="82" xfId="0" applyNumberFormat="1" applyFont="1" applyBorder="1" applyAlignment="1" applyProtection="1">
      <alignment horizontal="center" vertical="center"/>
      <protection hidden="1"/>
    </xf>
    <xf numFmtId="0" fontId="42" fillId="2" borderId="82" xfId="0" applyFont="1" applyFill="1" applyBorder="1" applyAlignment="1">
      <alignment horizontal="center" vertical="center" wrapText="1"/>
    </xf>
    <xf numFmtId="49" fontId="42" fillId="0" borderId="82" xfId="0" applyNumberFormat="1" applyFont="1" applyBorder="1" applyAlignment="1">
      <alignment horizontal="center" vertical="center"/>
    </xf>
    <xf numFmtId="49" fontId="42" fillId="3" borderId="82" xfId="0" applyNumberFormat="1" applyFont="1" applyFill="1" applyBorder="1" applyAlignment="1">
      <alignment horizontal="center" vertical="center"/>
    </xf>
    <xf numFmtId="0" fontId="30" fillId="0" borderId="0" xfId="0" applyFont="1" applyAlignment="1" applyProtection="1">
      <alignment horizontal="center" vertical="center"/>
      <protection hidden="1"/>
    </xf>
    <xf numFmtId="0" fontId="39" fillId="0" borderId="0" xfId="0" applyFont="1" applyFill="1" applyBorder="1" applyAlignment="1" applyProtection="1">
      <alignment horizontal="center" vertical="distributed"/>
      <protection hidden="1"/>
    </xf>
    <xf numFmtId="0" fontId="81" fillId="0" borderId="0" xfId="0" applyFont="1" applyAlignment="1" applyProtection="1">
      <alignment horizontal="left" vertical="center"/>
      <protection hidden="1"/>
    </xf>
    <xf numFmtId="0" fontId="82" fillId="0" borderId="0" xfId="0" applyFont="1" applyAlignment="1" applyProtection="1">
      <alignment horizontal="right" vertical="center" readingOrder="2"/>
      <protection hidden="1"/>
    </xf>
    <xf numFmtId="0" fontId="82" fillId="0" borderId="0" xfId="0" applyFont="1" applyAlignment="1">
      <alignment horizontal="right" vertical="center" readingOrder="2"/>
    </xf>
    <xf numFmtId="0" fontId="83" fillId="0" borderId="0" xfId="0" applyFont="1" applyAlignment="1" applyProtection="1">
      <alignment vertical="center"/>
      <protection hidden="1"/>
    </xf>
    <xf numFmtId="0" fontId="84" fillId="0" borderId="0" xfId="0" applyFont="1" applyAlignment="1" applyProtection="1">
      <alignment horizontal="center" vertical="center" readingOrder="2"/>
      <protection hidden="1"/>
    </xf>
    <xf numFmtId="0" fontId="85" fillId="0" borderId="0" xfId="0" applyFont="1" applyAlignment="1" applyProtection="1">
      <alignment horizontal="center" vertical="center" readingOrder="2"/>
      <protection hidden="1"/>
    </xf>
    <xf numFmtId="0" fontId="86" fillId="0" borderId="0" xfId="0" applyFont="1" applyAlignment="1" applyProtection="1">
      <alignment horizontal="right" vertical="top" wrapText="1" readingOrder="2"/>
      <protection hidden="1"/>
    </xf>
    <xf numFmtId="0" fontId="82" fillId="0" borderId="0" xfId="0" applyFont="1" applyAlignment="1" applyProtection="1">
      <alignment horizontal="center" vertical="center" readingOrder="2"/>
      <protection hidden="1"/>
    </xf>
    <xf numFmtId="0" fontId="30" fillId="0" borderId="0" xfId="0" applyFont="1" applyAlignment="1" applyProtection="1">
      <alignment horizontal="left" vertical="center" readingOrder="1"/>
      <protection hidden="1"/>
    </xf>
    <xf numFmtId="49" fontId="30" fillId="0" borderId="0" xfId="0" applyNumberFormat="1" applyFont="1" applyAlignment="1" applyProtection="1">
      <alignment horizontal="left" vertical="center" readingOrder="1"/>
      <protection hidden="1"/>
    </xf>
    <xf numFmtId="0" fontId="75" fillId="0" borderId="0" xfId="2" applyFont="1" applyAlignment="1">
      <alignment horizontal="left"/>
    </xf>
    <xf numFmtId="0" fontId="27" fillId="0" borderId="0" xfId="2" applyFont="1" applyAlignment="1">
      <alignment horizontal="center" vertical="center"/>
    </xf>
    <xf numFmtId="0" fontId="81" fillId="0" borderId="0" xfId="2" applyFont="1" applyAlignment="1" applyProtection="1">
      <alignment horizontal="left" vertical="center"/>
      <protection hidden="1"/>
    </xf>
    <xf numFmtId="0" fontId="35" fillId="0" borderId="0" xfId="2" applyFont="1" applyAlignment="1" applyProtection="1">
      <alignment vertical="center"/>
      <protection hidden="1"/>
    </xf>
    <xf numFmtId="0" fontId="54" fillId="0" borderId="0" xfId="2" applyProtection="1">
      <protection hidden="1"/>
    </xf>
    <xf numFmtId="0" fontId="29" fillId="0" borderId="0" xfId="2" applyFont="1" applyAlignment="1" applyProtection="1">
      <alignment vertical="top"/>
      <protection hidden="1"/>
    </xf>
    <xf numFmtId="0" fontId="89" fillId="0" borderId="0" xfId="2" applyFont="1" applyBorder="1" applyAlignment="1" applyProtection="1">
      <alignment vertical="center" wrapText="1" readingOrder="1"/>
      <protection hidden="1"/>
    </xf>
    <xf numFmtId="0" fontId="90" fillId="0" borderId="0" xfId="2" applyFont="1" applyBorder="1" applyAlignment="1" applyProtection="1">
      <alignment vertical="center" wrapText="1" readingOrder="1"/>
      <protection hidden="1"/>
    </xf>
    <xf numFmtId="0" fontId="90" fillId="0" borderId="0" xfId="2" applyFont="1" applyAlignment="1" applyProtection="1">
      <alignment vertical="center"/>
      <protection hidden="1"/>
    </xf>
    <xf numFmtId="0" fontId="89" fillId="0" borderId="0" xfId="2" applyFont="1" applyAlignment="1" applyProtection="1">
      <alignment vertical="center"/>
      <protection hidden="1"/>
    </xf>
    <xf numFmtId="176" fontId="73" fillId="0" borderId="82" xfId="2" applyNumberFormat="1" applyFont="1" applyBorder="1" applyAlignment="1" applyProtection="1">
      <alignment horizontal="center" vertical="center"/>
      <protection hidden="1"/>
    </xf>
    <xf numFmtId="0" fontId="45" fillId="0" borderId="57" xfId="2" applyFont="1" applyFill="1" applyBorder="1" applyAlignment="1" applyProtection="1">
      <alignment horizontal="center" vertical="center"/>
      <protection hidden="1"/>
    </xf>
    <xf numFmtId="0" fontId="27" fillId="0" borderId="0" xfId="2" applyFont="1" applyBorder="1" applyAlignment="1">
      <alignment horizontal="center" vertical="center"/>
    </xf>
    <xf numFmtId="0" fontId="27" fillId="13" borderId="82" xfId="2" applyFont="1" applyFill="1" applyBorder="1" applyAlignment="1" applyProtection="1">
      <alignment horizontal="center" vertical="center"/>
      <protection hidden="1"/>
    </xf>
    <xf numFmtId="3" fontId="93" fillId="0" borderId="82" xfId="2" applyNumberFormat="1" applyFont="1" applyBorder="1" applyAlignment="1" applyProtection="1">
      <alignment horizontal="center" vertical="center"/>
      <protection locked="0"/>
    </xf>
    <xf numFmtId="176" fontId="94" fillId="0" borderId="82" xfId="2" applyNumberFormat="1" applyFont="1" applyBorder="1" applyAlignment="1" applyProtection="1">
      <alignment horizontal="center" vertical="distributed"/>
      <protection locked="0"/>
    </xf>
    <xf numFmtId="177" fontId="73" fillId="0" borderId="82" xfId="2" applyNumberFormat="1" applyFont="1" applyBorder="1" applyAlignment="1" applyProtection="1">
      <alignment horizontal="center" vertical="center"/>
      <protection hidden="1"/>
    </xf>
    <xf numFmtId="0" fontId="27" fillId="0" borderId="0" xfId="2" applyFont="1" applyAlignment="1" applyProtection="1">
      <alignment horizontal="center" vertical="center"/>
      <protection hidden="1"/>
    </xf>
    <xf numFmtId="0" fontId="93" fillId="0" borderId="0" xfId="2" applyFont="1" applyFill="1" applyBorder="1" applyAlignment="1" applyProtection="1">
      <alignment horizontal="center" vertical="center"/>
      <protection hidden="1"/>
    </xf>
    <xf numFmtId="0" fontId="27" fillId="0" borderId="0" xfId="2" applyFont="1" applyBorder="1" applyAlignment="1" applyProtection="1">
      <alignment horizontal="center" vertical="center"/>
      <protection hidden="1"/>
    </xf>
    <xf numFmtId="0" fontId="36" fillId="0" borderId="0" xfId="2" applyFont="1" applyFill="1" applyAlignment="1" applyProtection="1">
      <alignment horizontal="center" vertical="center"/>
      <protection hidden="1"/>
    </xf>
    <xf numFmtId="0" fontId="27" fillId="0" borderId="0" xfId="2" applyFont="1" applyProtection="1">
      <protection hidden="1"/>
    </xf>
    <xf numFmtId="165" fontId="91" fillId="0" borderId="57" xfId="2" applyNumberFormat="1" applyFont="1" applyBorder="1" applyAlignment="1" applyProtection="1">
      <alignment vertical="center"/>
      <protection locked="0"/>
    </xf>
    <xf numFmtId="0" fontId="93" fillId="0" borderId="0" xfId="2" applyFont="1" applyAlignment="1">
      <alignment horizontal="left" vertical="top" wrapText="1"/>
    </xf>
    <xf numFmtId="0" fontId="30" fillId="12" borderId="15" xfId="0" applyFont="1" applyFill="1" applyBorder="1" applyAlignment="1" applyProtection="1">
      <alignment horizontal="left" vertical="center"/>
      <protection hidden="1"/>
    </xf>
    <xf numFmtId="0" fontId="93" fillId="0" borderId="0" xfId="2" applyFont="1" applyAlignment="1">
      <alignment horizontal="left" vertical="top" wrapText="1"/>
    </xf>
    <xf numFmtId="0" fontId="45" fillId="0" borderId="57" xfId="2" applyFont="1" applyFill="1" applyBorder="1" applyAlignment="1" applyProtection="1">
      <alignment horizontal="center" vertical="center"/>
      <protection hidden="1"/>
    </xf>
    <xf numFmtId="0" fontId="45" fillId="0" borderId="0" xfId="2" applyFont="1" applyFill="1" applyBorder="1" applyAlignment="1" applyProtection="1">
      <alignment horizontal="center" vertical="center"/>
      <protection hidden="1"/>
    </xf>
    <xf numFmtId="0" fontId="83" fillId="0" borderId="0" xfId="2" applyFont="1" applyAlignment="1" applyProtection="1">
      <alignment horizontal="left" vertical="center"/>
      <protection hidden="1"/>
    </xf>
    <xf numFmtId="0" fontId="35" fillId="0" borderId="0" xfId="2" applyFont="1" applyAlignment="1" applyProtection="1">
      <alignment horizontal="center" vertical="center"/>
      <protection hidden="1"/>
    </xf>
    <xf numFmtId="0" fontId="29" fillId="0" borderId="0" xfId="2" applyFont="1" applyAlignment="1" applyProtection="1">
      <alignment horizontal="center" vertical="top"/>
      <protection hidden="1"/>
    </xf>
    <xf numFmtId="0" fontId="89" fillId="0" borderId="0" xfId="2" applyFont="1" applyBorder="1" applyAlignment="1" applyProtection="1">
      <alignment horizontal="center" vertical="center" wrapText="1" readingOrder="1"/>
      <protection hidden="1"/>
    </xf>
    <xf numFmtId="0" fontId="79" fillId="0" borderId="0" xfId="1" applyFont="1" applyAlignment="1" applyProtection="1">
      <alignment horizontal="center" vertical="center"/>
    </xf>
    <xf numFmtId="0" fontId="27" fillId="0" borderId="0" xfId="0" applyFont="1" applyFill="1" applyAlignment="1" applyProtection="1">
      <alignment horizontal="center" vertical="center"/>
      <protection hidden="1"/>
    </xf>
    <xf numFmtId="0" fontId="27" fillId="0" borderId="0"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27" fillId="0" borderId="0" xfId="0" applyFont="1" applyBorder="1" applyAlignment="1" applyProtection="1">
      <alignment horizontal="center" vertical="center" wrapText="1"/>
      <protection hidden="1"/>
    </xf>
    <xf numFmtId="0" fontId="42" fillId="0" borderId="0" xfId="0" applyFont="1" applyAlignment="1" applyProtection="1">
      <alignment horizontal="left" vertical="top"/>
      <protection hidden="1"/>
    </xf>
    <xf numFmtId="0" fontId="29" fillId="0" borderId="0" xfId="0" applyFont="1" applyAlignment="1" applyProtection="1">
      <alignment horizontal="center" vertical="center"/>
      <protection hidden="1"/>
    </xf>
    <xf numFmtId="0" fontId="39" fillId="0" borderId="0" xfId="0" applyFont="1" applyFill="1" applyBorder="1" applyAlignment="1" applyProtection="1">
      <alignment horizontal="center" vertical="distributed"/>
      <protection hidden="1"/>
    </xf>
    <xf numFmtId="0" fontId="0" fillId="0" borderId="0" xfId="0" applyProtection="1">
      <protection hidden="1"/>
    </xf>
    <xf numFmtId="0" fontId="93" fillId="0" borderId="0" xfId="2" applyFont="1" applyAlignment="1">
      <alignment vertical="top" wrapText="1"/>
    </xf>
    <xf numFmtId="3" fontId="37" fillId="0" borderId="82" xfId="0" applyNumberFormat="1" applyFont="1" applyBorder="1" applyAlignment="1" applyProtection="1">
      <alignment horizontal="center" vertical="center"/>
      <protection hidden="1"/>
    </xf>
    <xf numFmtId="4" fontId="37" fillId="0" borderId="82" xfId="0" applyNumberFormat="1" applyFont="1" applyBorder="1" applyAlignment="1" applyProtection="1">
      <alignment horizontal="center" vertical="center"/>
      <protection hidden="1"/>
    </xf>
    <xf numFmtId="3" fontId="37" fillId="0" borderId="82" xfId="0" applyNumberFormat="1" applyFont="1" applyFill="1" applyBorder="1" applyAlignment="1" applyProtection="1">
      <alignment horizontal="center" vertical="center"/>
      <protection hidden="1"/>
    </xf>
    <xf numFmtId="4" fontId="37" fillId="0" borderId="82" xfId="0" applyNumberFormat="1" applyFont="1" applyFill="1" applyBorder="1" applyAlignment="1" applyProtection="1">
      <alignment horizontal="center" vertical="center"/>
      <protection hidden="1"/>
    </xf>
    <xf numFmtId="0" fontId="41" fillId="0" borderId="82" xfId="0" applyFont="1" applyBorder="1" applyAlignment="1">
      <alignment horizontal="center" vertical="center"/>
    </xf>
    <xf numFmtId="170" fontId="41" fillId="0" borderId="82" xfId="0" applyNumberFormat="1" applyFont="1" applyBorder="1" applyAlignment="1" applyProtection="1">
      <alignment horizontal="center" vertical="distributed"/>
      <protection hidden="1"/>
    </xf>
    <xf numFmtId="0" fontId="27" fillId="13" borderId="82" xfId="0" applyFont="1" applyFill="1" applyBorder="1" applyAlignment="1" applyProtection="1">
      <alignment horizontal="center" vertical="center" wrapText="1"/>
      <protection hidden="1"/>
    </xf>
    <xf numFmtId="3" fontId="37" fillId="14" borderId="82" xfId="0" applyNumberFormat="1" applyFont="1" applyFill="1" applyBorder="1" applyAlignment="1" applyProtection="1">
      <alignment horizontal="center" vertical="center"/>
      <protection hidden="1"/>
    </xf>
    <xf numFmtId="4" fontId="37" fillId="14" borderId="82" xfId="0" applyNumberFormat="1" applyFont="1" applyFill="1" applyBorder="1" applyAlignment="1" applyProtection="1">
      <alignment horizontal="center" vertical="center"/>
      <protection hidden="1"/>
    </xf>
    <xf numFmtId="0" fontId="37" fillId="0" borderId="0" xfId="0" applyFont="1" applyAlignment="1" applyProtection="1">
      <alignment horizontal="center" vertical="distributed"/>
      <protection hidden="1"/>
    </xf>
    <xf numFmtId="0" fontId="98" fillId="0" borderId="0" xfId="0" applyFont="1" applyAlignment="1">
      <alignment horizontal="center" vertical="center"/>
    </xf>
    <xf numFmtId="0" fontId="45" fillId="0" borderId="57" xfId="0" applyFont="1" applyBorder="1" applyAlignment="1" applyProtection="1">
      <alignment horizontal="center" vertical="center"/>
      <protection hidden="1"/>
    </xf>
    <xf numFmtId="0" fontId="27" fillId="0" borderId="0" xfId="0" applyFont="1" applyFill="1" applyBorder="1" applyAlignment="1" applyProtection="1">
      <alignment horizontal="center" vertical="center" wrapText="1"/>
      <protection hidden="1"/>
    </xf>
    <xf numFmtId="176" fontId="73" fillId="0" borderId="0" xfId="2" applyNumberFormat="1" applyFont="1" applyBorder="1" applyAlignment="1" applyProtection="1">
      <alignment horizontal="center" vertical="center"/>
      <protection hidden="1"/>
    </xf>
    <xf numFmtId="0" fontId="64" fillId="0" borderId="0" xfId="0" applyFont="1" applyBorder="1" applyAlignment="1" applyProtection="1">
      <alignment horizontal="center" vertical="center"/>
      <protection hidden="1"/>
    </xf>
    <xf numFmtId="4" fontId="64" fillId="0" borderId="0" xfId="0" applyNumberFormat="1" applyFont="1" applyBorder="1" applyAlignment="1" applyProtection="1">
      <alignment horizontal="center" vertical="center"/>
      <protection hidden="1"/>
    </xf>
    <xf numFmtId="0" fontId="93" fillId="0" borderId="0" xfId="2" applyFont="1" applyFill="1" applyBorder="1" applyAlignment="1" applyProtection="1">
      <alignment horizontal="center" vertical="center" wrapText="1"/>
      <protection hidden="1"/>
    </xf>
    <xf numFmtId="0" fontId="99" fillId="0" borderId="0" xfId="2" applyFont="1" applyFill="1" applyBorder="1" applyAlignment="1" applyProtection="1">
      <alignment horizontal="center" vertical="center" wrapText="1"/>
      <protection hidden="1"/>
    </xf>
    <xf numFmtId="176" fontId="73" fillId="0" borderId="85" xfId="2" applyNumberFormat="1" applyFont="1" applyBorder="1" applyAlignment="1" applyProtection="1">
      <alignment horizontal="center" vertical="center"/>
      <protection hidden="1"/>
    </xf>
    <xf numFmtId="0" fontId="46" fillId="0" borderId="86" xfId="0" applyFont="1" applyBorder="1" applyAlignment="1" applyProtection="1">
      <alignment horizontal="center" vertical="distributed"/>
      <protection hidden="1"/>
    </xf>
    <xf numFmtId="0" fontId="27" fillId="0" borderId="0" xfId="0" applyFont="1" applyBorder="1" applyAlignment="1" applyProtection="1">
      <alignment vertical="distributed"/>
      <protection hidden="1"/>
    </xf>
    <xf numFmtId="0" fontId="27" fillId="0" borderId="0" xfId="0" applyFont="1" applyBorder="1" applyAlignment="1" applyProtection="1">
      <alignment vertical="center"/>
      <protection hidden="1"/>
    </xf>
    <xf numFmtId="0" fontId="100" fillId="12" borderId="81" xfId="0" applyFont="1" applyFill="1" applyBorder="1" applyAlignment="1" applyProtection="1">
      <alignment horizontal="center" vertical="distributed" wrapText="1"/>
      <protection hidden="1"/>
    </xf>
    <xf numFmtId="176" fontId="46" fillId="0" borderId="81" xfId="0" applyNumberFormat="1" applyFont="1" applyBorder="1" applyAlignment="1" applyProtection="1">
      <alignment horizontal="center" vertical="center"/>
      <protection hidden="1"/>
    </xf>
    <xf numFmtId="0" fontId="45" fillId="0" borderId="0" xfId="0" applyNumberFormat="1" applyFont="1" applyFill="1" applyBorder="1" applyAlignment="1" applyProtection="1">
      <alignment horizontal="center" vertical="center"/>
      <protection hidden="1"/>
    </xf>
    <xf numFmtId="0" fontId="46" fillId="0" borderId="0" xfId="0" applyNumberFormat="1" applyFont="1" applyFill="1" applyBorder="1" applyAlignment="1" applyProtection="1">
      <alignment horizontal="center" vertical="distributed"/>
      <protection hidden="1"/>
    </xf>
    <xf numFmtId="0" fontId="27" fillId="0" borderId="0" xfId="2" applyNumberFormat="1" applyFont="1" applyFill="1" applyBorder="1" applyAlignment="1" applyProtection="1">
      <alignment horizontal="center" vertical="center"/>
      <protection hidden="1"/>
    </xf>
    <xf numFmtId="0" fontId="37" fillId="13" borderId="85" xfId="2" applyFont="1" applyFill="1" applyBorder="1" applyAlignment="1" applyProtection="1">
      <alignment horizontal="left" vertical="center"/>
      <protection hidden="1"/>
    </xf>
    <xf numFmtId="0" fontId="37" fillId="13" borderId="84" xfId="2" applyFont="1" applyFill="1" applyBorder="1" applyAlignment="1" applyProtection="1">
      <alignment horizontal="left" vertical="center"/>
      <protection hidden="1"/>
    </xf>
    <xf numFmtId="0" fontId="37" fillId="0" borderId="0" xfId="2" applyFont="1" applyFill="1" applyBorder="1" applyAlignment="1" applyProtection="1">
      <alignment horizontal="center" vertical="center" wrapText="1"/>
      <protection hidden="1"/>
    </xf>
    <xf numFmtId="0" fontId="37" fillId="0" borderId="0" xfId="2" applyFont="1" applyFill="1" applyBorder="1" applyAlignment="1" applyProtection="1">
      <alignment horizontal="left" vertical="center"/>
      <protection hidden="1"/>
    </xf>
    <xf numFmtId="176" fontId="73" fillId="0" borderId="0" xfId="2" applyNumberFormat="1" applyFont="1" applyFill="1" applyBorder="1" applyAlignment="1" applyProtection="1">
      <alignment horizontal="center" vertical="center"/>
      <protection hidden="1"/>
    </xf>
    <xf numFmtId="0" fontId="45" fillId="13" borderId="12" xfId="0" applyFont="1" applyFill="1" applyBorder="1" applyAlignment="1" applyProtection="1">
      <alignment horizontal="center" vertical="center" wrapText="1"/>
      <protection hidden="1"/>
    </xf>
    <xf numFmtId="0" fontId="27" fillId="13" borderId="86" xfId="0" applyFont="1" applyFill="1" applyBorder="1" applyAlignment="1" applyProtection="1">
      <alignment horizontal="center" vertical="center"/>
      <protection hidden="1"/>
    </xf>
    <xf numFmtId="176" fontId="73" fillId="0" borderId="86" xfId="0" applyNumberFormat="1" applyFont="1" applyBorder="1" applyAlignment="1" applyProtection="1">
      <alignment horizontal="center" vertical="distributed"/>
      <protection hidden="1"/>
    </xf>
    <xf numFmtId="3" fontId="73" fillId="0" borderId="86" xfId="0" applyNumberFormat="1" applyFont="1" applyBorder="1" applyAlignment="1" applyProtection="1">
      <alignment horizontal="center" vertical="distributed"/>
      <protection hidden="1"/>
    </xf>
    <xf numFmtId="3" fontId="91" fillId="0" borderId="86" xfId="0" applyNumberFormat="1" applyFont="1" applyBorder="1" applyAlignment="1" applyProtection="1">
      <alignment horizontal="center" vertical="distributed"/>
      <protection locked="0"/>
    </xf>
    <xf numFmtId="0" fontId="27" fillId="13" borderId="12" xfId="0" applyFont="1" applyFill="1" applyBorder="1" applyAlignment="1" applyProtection="1">
      <alignment horizontal="center" vertical="center" wrapText="1"/>
      <protection hidden="1"/>
    </xf>
    <xf numFmtId="0" fontId="27" fillId="13" borderId="85" xfId="2" applyFont="1" applyFill="1" applyBorder="1" applyAlignment="1" applyProtection="1">
      <alignment horizontal="center" vertical="center"/>
      <protection hidden="1"/>
    </xf>
    <xf numFmtId="176" fontId="73" fillId="0" borderId="82" xfId="2" applyNumberFormat="1" applyFont="1" applyBorder="1" applyAlignment="1" applyProtection="1">
      <alignment horizontal="center" vertical="distributed"/>
      <protection hidden="1"/>
    </xf>
    <xf numFmtId="0" fontId="37" fillId="0" borderId="0" xfId="0" applyNumberFormat="1" applyFont="1" applyAlignment="1" applyProtection="1">
      <alignment vertical="top" wrapText="1"/>
      <protection hidden="1"/>
    </xf>
    <xf numFmtId="0" fontId="38" fillId="0" borderId="0" xfId="0" applyFont="1" applyAlignment="1" applyProtection="1">
      <alignment horizontal="center" vertical="center"/>
      <protection hidden="1"/>
    </xf>
    <xf numFmtId="174" fontId="73" fillId="0" borderId="86" xfId="2" applyNumberFormat="1" applyFont="1" applyBorder="1" applyAlignment="1" applyProtection="1">
      <alignment horizontal="center" vertical="distributed"/>
      <protection hidden="1"/>
    </xf>
    <xf numFmtId="3" fontId="93" fillId="0" borderId="82" xfId="2" applyNumberFormat="1" applyFont="1" applyBorder="1" applyAlignment="1" applyProtection="1">
      <alignment horizontal="center" vertical="center"/>
      <protection hidden="1"/>
    </xf>
    <xf numFmtId="169" fontId="32" fillId="0" borderId="82" xfId="0" applyNumberFormat="1" applyFont="1" applyBorder="1" applyAlignment="1" applyProtection="1">
      <alignment horizontal="center" vertical="distributed"/>
      <protection hidden="1"/>
    </xf>
    <xf numFmtId="0" fontId="37" fillId="0" borderId="0" xfId="0" applyFont="1" applyFill="1" applyBorder="1" applyAlignment="1" applyProtection="1">
      <alignment horizontal="center" vertical="center" wrapText="1"/>
      <protection hidden="1"/>
    </xf>
    <xf numFmtId="176" fontId="73" fillId="0" borderId="0" xfId="0" applyNumberFormat="1" applyFont="1" applyFill="1" applyBorder="1" applyAlignment="1" applyProtection="1">
      <alignment horizontal="center" vertical="distributed"/>
      <protection hidden="1"/>
    </xf>
    <xf numFmtId="174" fontId="73" fillId="0" borderId="0" xfId="2" applyNumberFormat="1" applyFont="1" applyBorder="1" applyAlignment="1" applyProtection="1">
      <alignment horizontal="center" vertical="distributed"/>
      <protection hidden="1"/>
    </xf>
    <xf numFmtId="3" fontId="73" fillId="0" borderId="82" xfId="2" applyNumberFormat="1" applyFont="1" applyBorder="1" applyAlignment="1" applyProtection="1">
      <alignment horizontal="center" vertical="center"/>
      <protection hidden="1"/>
    </xf>
    <xf numFmtId="0" fontId="103" fillId="0" borderId="0" xfId="1" applyFont="1" applyAlignment="1" applyProtection="1">
      <alignment horizontal="center" vertical="top"/>
    </xf>
    <xf numFmtId="168" fontId="27" fillId="3" borderId="86" xfId="0" applyNumberFormat="1" applyFont="1" applyFill="1" applyBorder="1" applyAlignment="1" applyProtection="1">
      <alignment horizontal="center" vertical="center"/>
      <protection hidden="1"/>
    </xf>
    <xf numFmtId="168" fontId="27" fillId="0" borderId="86" xfId="0" applyNumberFormat="1" applyFont="1" applyBorder="1" applyAlignment="1" applyProtection="1">
      <alignment horizontal="center" vertical="center"/>
      <protection hidden="1"/>
    </xf>
    <xf numFmtId="0" fontId="98" fillId="0" borderId="0" xfId="0" applyFont="1" applyBorder="1" applyAlignment="1" applyProtection="1">
      <protection hidden="1"/>
    </xf>
    <xf numFmtId="0" fontId="0" fillId="0" borderId="0" xfId="0" applyFill="1" applyAlignment="1" applyProtection="1">
      <alignment horizontal="center"/>
      <protection hidden="1"/>
    </xf>
    <xf numFmtId="169" fontId="23" fillId="0" borderId="0" xfId="0" applyNumberFormat="1" applyFont="1" applyFill="1" applyBorder="1" applyAlignment="1" applyProtection="1">
      <alignment horizontal="center" vertical="distributed"/>
      <protection hidden="1"/>
    </xf>
    <xf numFmtId="0" fontId="4" fillId="0" borderId="0" xfId="0" applyFont="1" applyFill="1" applyAlignment="1" applyProtection="1">
      <alignment horizontal="center" vertical="center"/>
      <protection hidden="1"/>
    </xf>
    <xf numFmtId="0" fontId="0" fillId="0" borderId="0" xfId="0" applyFill="1" applyAlignment="1" applyProtection="1">
      <protection hidden="1"/>
    </xf>
    <xf numFmtId="171" fontId="77" fillId="0" borderId="86" xfId="0" applyNumberFormat="1" applyFont="1" applyBorder="1" applyAlignment="1" applyProtection="1">
      <alignment horizontal="center" vertical="distributed"/>
      <protection hidden="1"/>
    </xf>
    <xf numFmtId="171" fontId="77" fillId="0" borderId="0" xfId="0" applyNumberFormat="1" applyFont="1" applyFill="1" applyBorder="1" applyAlignment="1" applyProtection="1">
      <alignment horizontal="center" vertical="distributed"/>
      <protection hidden="1"/>
    </xf>
    <xf numFmtId="169" fontId="77" fillId="0" borderId="0" xfId="0" applyNumberFormat="1" applyFont="1" applyFill="1" applyBorder="1" applyAlignment="1" applyProtection="1">
      <alignment horizontal="center" vertical="distributed"/>
      <protection hidden="1"/>
    </xf>
    <xf numFmtId="1" fontId="6" fillId="13" borderId="86" xfId="0" applyNumberFormat="1" applyFont="1" applyFill="1" applyBorder="1" applyAlignment="1" applyProtection="1">
      <alignment horizontal="center" vertical="center"/>
      <protection hidden="1"/>
    </xf>
    <xf numFmtId="0" fontId="27" fillId="0" borderId="0" xfId="2" applyFont="1" applyAlignment="1">
      <alignment horizontal="left" vertical="center"/>
    </xf>
    <xf numFmtId="176" fontId="73" fillId="0" borderId="86" xfId="2" applyNumberFormat="1" applyFont="1" applyBorder="1" applyAlignment="1" applyProtection="1">
      <alignment horizontal="center" vertical="center"/>
      <protection hidden="1"/>
    </xf>
    <xf numFmtId="0" fontId="45" fillId="0" borderId="0" xfId="2" applyFont="1" applyFill="1" applyBorder="1" applyAlignment="1" applyProtection="1">
      <alignment vertical="center"/>
      <protection hidden="1"/>
    </xf>
    <xf numFmtId="0" fontId="45" fillId="0" borderId="57" xfId="2" applyFont="1" applyFill="1" applyBorder="1" applyAlignment="1" applyProtection="1">
      <alignment horizontal="right" vertical="center"/>
      <protection hidden="1"/>
    </xf>
    <xf numFmtId="0" fontId="98" fillId="0" borderId="0" xfId="0" applyFont="1" applyAlignment="1" applyProtection="1">
      <alignment horizontal="center" vertical="center"/>
      <protection hidden="1"/>
    </xf>
    <xf numFmtId="0" fontId="98" fillId="0" borderId="0" xfId="0" applyFont="1" applyProtection="1">
      <protection hidden="1"/>
    </xf>
    <xf numFmtId="2" fontId="46" fillId="0" borderId="15" xfId="0" applyNumberFormat="1" applyFont="1" applyFill="1" applyBorder="1" applyAlignment="1" applyProtection="1">
      <alignment horizontal="center" vertical="center"/>
      <protection hidden="1"/>
    </xf>
    <xf numFmtId="167" fontId="46" fillId="0" borderId="15" xfId="0" applyNumberFormat="1" applyFont="1" applyFill="1" applyBorder="1" applyAlignment="1" applyProtection="1">
      <alignment horizontal="center" vertical="center"/>
      <protection hidden="1"/>
    </xf>
    <xf numFmtId="3" fontId="46" fillId="0" borderId="15" xfId="0" applyNumberFormat="1" applyFont="1" applyFill="1" applyBorder="1" applyAlignment="1" applyProtection="1">
      <alignment horizontal="center" vertical="center"/>
      <protection hidden="1"/>
    </xf>
    <xf numFmtId="0" fontId="30" fillId="12" borderId="27" xfId="0" applyFont="1" applyFill="1" applyBorder="1" applyAlignment="1" applyProtection="1">
      <alignment horizontal="left" vertical="center"/>
      <protection hidden="1"/>
    </xf>
    <xf numFmtId="0" fontId="36" fillId="0" borderId="0" xfId="2" applyFont="1" applyAlignment="1">
      <alignment horizontal="center" vertical="center"/>
    </xf>
    <xf numFmtId="0" fontId="93" fillId="0" borderId="0" xfId="2" applyFont="1" applyAlignment="1">
      <alignment horizontal="left" vertical="top" wrapText="1"/>
    </xf>
    <xf numFmtId="0" fontId="93" fillId="0" borderId="0" xfId="2" applyFont="1" applyFill="1" applyBorder="1" applyAlignment="1" applyProtection="1">
      <alignment horizontal="center" vertical="top" wrapText="1"/>
      <protection hidden="1"/>
    </xf>
    <xf numFmtId="0" fontId="36" fillId="0" borderId="0" xfId="2" applyFont="1" applyAlignment="1">
      <alignment horizontal="center" vertical="center"/>
    </xf>
    <xf numFmtId="0" fontId="83" fillId="0" borderId="0" xfId="2" applyFont="1" applyAlignment="1" applyProtection="1">
      <alignment horizontal="left" vertical="center"/>
      <protection hidden="1"/>
    </xf>
    <xf numFmtId="176" fontId="27" fillId="0" borderId="0" xfId="2" applyNumberFormat="1" applyFont="1" applyAlignment="1">
      <alignment horizontal="center" vertical="center"/>
    </xf>
    <xf numFmtId="4" fontId="73" fillId="0" borderId="82" xfId="2" applyNumberFormat="1" applyFont="1" applyBorder="1" applyAlignment="1" applyProtection="1">
      <alignment horizontal="center" vertical="center"/>
      <protection hidden="1"/>
    </xf>
    <xf numFmtId="0" fontId="99" fillId="0" borderId="0" xfId="2" applyFont="1" applyFill="1" applyBorder="1" applyAlignment="1" applyProtection="1">
      <alignment horizontal="center" vertical="center" wrapText="1"/>
      <protection hidden="1"/>
    </xf>
    <xf numFmtId="0" fontId="27" fillId="0" borderId="0" xfId="0" applyFont="1" applyAlignment="1" applyProtection="1">
      <alignment horizontal="left" vertical="center" readingOrder="1"/>
      <protection hidden="1"/>
    </xf>
    <xf numFmtId="0" fontId="107" fillId="0" borderId="0" xfId="0" applyFont="1" applyAlignment="1" applyProtection="1">
      <alignment horizontal="left" vertical="center" readingOrder="2"/>
      <protection hidden="1"/>
    </xf>
    <xf numFmtId="0" fontId="93" fillId="0" borderId="0" xfId="2" applyFont="1" applyFill="1" applyBorder="1" applyAlignment="1" applyProtection="1">
      <alignment vertical="top" wrapText="1"/>
      <protection hidden="1"/>
    </xf>
    <xf numFmtId="0" fontId="93" fillId="0" borderId="80" xfId="2" applyFont="1" applyFill="1" applyBorder="1" applyAlignment="1" applyProtection="1">
      <alignment vertical="top" wrapText="1"/>
      <protection hidden="1"/>
    </xf>
    <xf numFmtId="0" fontId="100" fillId="12" borderId="86" xfId="0" applyFont="1" applyFill="1" applyBorder="1" applyAlignment="1" applyProtection="1">
      <alignment horizontal="center" vertical="distributed" wrapText="1"/>
      <protection hidden="1"/>
    </xf>
    <xf numFmtId="0" fontId="46" fillId="0" borderId="86" xfId="0" applyFont="1" applyBorder="1" applyAlignment="1" applyProtection="1">
      <alignment horizontal="center" vertical="center"/>
      <protection hidden="1"/>
    </xf>
    <xf numFmtId="0" fontId="36" fillId="0" borderId="0" xfId="2" applyFont="1" applyAlignment="1">
      <alignment horizontal="center" vertical="center"/>
    </xf>
    <xf numFmtId="0" fontId="36" fillId="0" borderId="0" xfId="2" applyFont="1" applyAlignment="1" applyProtection="1">
      <alignment horizontal="center" vertical="center"/>
      <protection hidden="1"/>
    </xf>
    <xf numFmtId="0" fontId="112" fillId="0" borderId="0" xfId="2" applyFont="1" applyAlignment="1" applyProtection="1">
      <alignment horizontal="center" vertical="center"/>
      <protection hidden="1"/>
    </xf>
    <xf numFmtId="0" fontId="112" fillId="0" borderId="0" xfId="2" applyFont="1" applyAlignment="1" applyProtection="1">
      <alignment vertical="center"/>
      <protection hidden="1"/>
    </xf>
    <xf numFmtId="0" fontId="86" fillId="0" borderId="0" xfId="0" applyFont="1" applyAlignment="1" applyProtection="1">
      <alignment horizontal="right" vertical="top" wrapText="1" readingOrder="2"/>
      <protection hidden="1"/>
    </xf>
    <xf numFmtId="0" fontId="83" fillId="0" borderId="0" xfId="0" applyFont="1" applyAlignment="1" applyProtection="1">
      <alignment horizontal="left" vertical="center"/>
      <protection hidden="1"/>
    </xf>
    <xf numFmtId="0" fontId="85" fillId="0" borderId="0" xfId="0" applyFont="1" applyAlignment="1" applyProtection="1">
      <alignment horizontal="center" vertical="center" readingOrder="2"/>
      <protection hidden="1"/>
    </xf>
    <xf numFmtId="0" fontId="84" fillId="0" borderId="0" xfId="0" applyFont="1" applyAlignment="1" applyProtection="1">
      <alignment horizontal="center" vertical="center" readingOrder="2"/>
      <protection hidden="1"/>
    </xf>
    <xf numFmtId="0" fontId="82" fillId="0" borderId="0" xfId="0" applyFont="1" applyAlignment="1" applyProtection="1">
      <alignment horizontal="center" vertical="center" readingOrder="2"/>
      <protection hidden="1"/>
    </xf>
    <xf numFmtId="0" fontId="27" fillId="0" borderId="0" xfId="0" applyFont="1" applyAlignment="1" applyProtection="1">
      <alignment horizontal="left" vertical="top" wrapText="1" readingOrder="1"/>
      <protection hidden="1"/>
    </xf>
    <xf numFmtId="49" fontId="27" fillId="0" borderId="0" xfId="0" applyNumberFormat="1" applyFont="1" applyAlignment="1" applyProtection="1">
      <alignment horizontal="left" vertical="center" readingOrder="1"/>
      <protection hidden="1"/>
    </xf>
    <xf numFmtId="0" fontId="30" fillId="12" borderId="15" xfId="0" applyFont="1" applyFill="1" applyBorder="1" applyAlignment="1" applyProtection="1">
      <alignment horizontal="center" vertical="center"/>
      <protection hidden="1"/>
    </xf>
    <xf numFmtId="0" fontId="30" fillId="5" borderId="76" xfId="0" applyFont="1" applyFill="1" applyBorder="1" applyAlignment="1" applyProtection="1">
      <alignment horizontal="center" vertical="center"/>
      <protection hidden="1"/>
    </xf>
    <xf numFmtId="0" fontId="30" fillId="5" borderId="77" xfId="0" applyFont="1" applyFill="1" applyBorder="1" applyAlignment="1" applyProtection="1">
      <alignment horizontal="center" vertical="center"/>
      <protection hidden="1"/>
    </xf>
    <xf numFmtId="0" fontId="30" fillId="5" borderId="78" xfId="0" applyFont="1" applyFill="1" applyBorder="1" applyAlignment="1" applyProtection="1">
      <alignment horizontal="center" vertical="center"/>
      <protection hidden="1"/>
    </xf>
    <xf numFmtId="0" fontId="30" fillId="12" borderId="15" xfId="0" applyFont="1" applyFill="1" applyBorder="1" applyAlignment="1" applyProtection="1">
      <alignment horizontal="left" vertical="center"/>
      <protection hidden="1"/>
    </xf>
    <xf numFmtId="14" fontId="52" fillId="0" borderId="15" xfId="0" applyNumberFormat="1" applyFont="1" applyFill="1" applyBorder="1" applyAlignment="1" applyProtection="1">
      <alignment horizontal="center" vertical="center"/>
      <protection locked="0"/>
    </xf>
    <xf numFmtId="0" fontId="35" fillId="0" borderId="0" xfId="0" applyFont="1" applyAlignment="1" applyProtection="1">
      <alignment horizontal="center" vertical="center"/>
      <protection hidden="1"/>
    </xf>
    <xf numFmtId="0" fontId="30" fillId="0" borderId="0" xfId="0" applyFont="1" applyAlignment="1" applyProtection="1">
      <alignment horizontal="center" vertical="center"/>
      <protection hidden="1"/>
    </xf>
    <xf numFmtId="0" fontId="87" fillId="0" borderId="25" xfId="0" applyFont="1" applyFill="1" applyBorder="1" applyAlignment="1" applyProtection="1">
      <alignment horizontal="center" vertical="distributed"/>
      <protection locked="0"/>
    </xf>
    <xf numFmtId="0" fontId="87" fillId="0" borderId="32" xfId="0" applyFont="1" applyFill="1" applyBorder="1" applyAlignment="1" applyProtection="1">
      <alignment horizontal="center" vertical="distributed"/>
      <protection locked="0"/>
    </xf>
    <xf numFmtId="0" fontId="30" fillId="12" borderId="27" xfId="0" applyFont="1" applyFill="1" applyBorder="1" applyAlignment="1" applyProtection="1">
      <alignment horizontal="left" vertical="center"/>
      <protection hidden="1"/>
    </xf>
    <xf numFmtId="0" fontId="30" fillId="12" borderId="32" xfId="0" applyFont="1" applyFill="1" applyBorder="1" applyAlignment="1" applyProtection="1">
      <alignment horizontal="left" vertical="center"/>
      <protection hidden="1"/>
    </xf>
    <xf numFmtId="0" fontId="52" fillId="0" borderId="27" xfId="0" applyFont="1" applyFill="1" applyBorder="1" applyAlignment="1" applyProtection="1">
      <alignment horizontal="center" vertical="center"/>
      <protection locked="0"/>
    </xf>
    <xf numFmtId="0" fontId="52" fillId="0" borderId="25" xfId="0" applyFont="1" applyFill="1" applyBorder="1" applyAlignment="1" applyProtection="1">
      <alignment horizontal="center" vertical="center"/>
      <protection locked="0"/>
    </xf>
    <xf numFmtId="0" fontId="52" fillId="0" borderId="32" xfId="0" applyFont="1" applyFill="1" applyBorder="1" applyAlignment="1" applyProtection="1">
      <alignment horizontal="center" vertical="center"/>
      <protection locked="0"/>
    </xf>
    <xf numFmtId="166" fontId="52" fillId="0" borderId="27" xfId="0" applyNumberFormat="1" applyFont="1" applyFill="1" applyBorder="1" applyAlignment="1" applyProtection="1">
      <alignment horizontal="center" vertical="center"/>
      <protection locked="0"/>
    </xf>
    <xf numFmtId="166" fontId="52" fillId="0" borderId="25" xfId="0" applyNumberFormat="1" applyFont="1" applyFill="1" applyBorder="1" applyAlignment="1" applyProtection="1">
      <alignment horizontal="center" vertical="center"/>
      <protection locked="0"/>
    </xf>
    <xf numFmtId="166" fontId="52" fillId="0" borderId="32" xfId="0" applyNumberFormat="1" applyFont="1" applyFill="1" applyBorder="1" applyAlignment="1" applyProtection="1">
      <alignment horizontal="center" vertical="center"/>
      <protection locked="0"/>
    </xf>
    <xf numFmtId="0" fontId="31" fillId="0" borderId="0" xfId="0" applyFont="1" applyFill="1" applyBorder="1" applyAlignment="1" applyProtection="1">
      <alignment horizontal="center" vertical="center"/>
      <protection hidden="1"/>
    </xf>
    <xf numFmtId="0" fontId="30" fillId="12" borderId="70" xfId="0" applyFont="1" applyFill="1" applyBorder="1" applyAlignment="1" applyProtection="1">
      <alignment horizontal="left" vertical="center"/>
      <protection hidden="1"/>
    </xf>
    <xf numFmtId="0" fontId="30" fillId="12" borderId="71" xfId="0" applyFont="1" applyFill="1" applyBorder="1" applyAlignment="1" applyProtection="1">
      <alignment horizontal="left" vertical="center"/>
      <protection hidden="1"/>
    </xf>
    <xf numFmtId="0" fontId="72" fillId="0" borderId="0" xfId="0" applyFont="1" applyAlignment="1" applyProtection="1">
      <alignment horizontal="center" wrapText="1"/>
      <protection hidden="1"/>
    </xf>
    <xf numFmtId="0" fontId="72" fillId="0" borderId="0" xfId="0" applyFont="1" applyAlignment="1" applyProtection="1">
      <alignment horizontal="center"/>
      <protection hidden="1"/>
    </xf>
    <xf numFmtId="0" fontId="74" fillId="0" borderId="0" xfId="1" applyFont="1" applyAlignment="1" applyProtection="1">
      <alignment horizontal="center" vertical="center"/>
      <protection hidden="1"/>
    </xf>
    <xf numFmtId="0" fontId="30" fillId="0" borderId="0" xfId="0" applyFont="1" applyBorder="1" applyAlignment="1" applyProtection="1">
      <alignment horizontal="center" vertical="top"/>
      <protection hidden="1"/>
    </xf>
    <xf numFmtId="0" fontId="87" fillId="0" borderId="27" xfId="0" applyFont="1" applyFill="1" applyBorder="1" applyAlignment="1" applyProtection="1">
      <alignment horizontal="center" vertical="distributed"/>
      <protection locked="0"/>
    </xf>
    <xf numFmtId="0" fontId="50" fillId="0" borderId="0" xfId="0" applyFont="1" applyAlignment="1" applyProtection="1">
      <alignment horizontal="center" vertical="center"/>
      <protection hidden="1"/>
    </xf>
    <xf numFmtId="0" fontId="27" fillId="0" borderId="0" xfId="0" applyFont="1" applyBorder="1" applyAlignment="1" applyProtection="1">
      <alignment horizontal="center" vertical="center"/>
      <protection hidden="1"/>
    </xf>
    <xf numFmtId="176" fontId="27" fillId="0" borderId="0" xfId="0" applyNumberFormat="1" applyFont="1" applyBorder="1" applyAlignment="1" applyProtection="1">
      <alignment horizontal="center" vertical="center"/>
      <protection hidden="1"/>
    </xf>
    <xf numFmtId="0" fontId="27" fillId="0" borderId="0" xfId="0" applyFont="1" applyBorder="1" applyAlignment="1" applyProtection="1">
      <alignment horizontal="left" vertical="center"/>
      <protection hidden="1"/>
    </xf>
    <xf numFmtId="0" fontId="30" fillId="0" borderId="0" xfId="0" applyFont="1" applyAlignment="1" applyProtection="1">
      <alignment horizontal="left" vertical="top" wrapText="1"/>
      <protection hidden="1"/>
    </xf>
    <xf numFmtId="0" fontId="106" fillId="13" borderId="81" xfId="1" applyFont="1" applyFill="1" applyBorder="1" applyAlignment="1" applyProtection="1">
      <alignment horizontal="center" vertical="center" wrapText="1"/>
      <protection hidden="1"/>
    </xf>
    <xf numFmtId="0" fontId="106" fillId="13" borderId="12" xfId="1" applyFont="1" applyFill="1" applyBorder="1" applyAlignment="1" applyProtection="1">
      <alignment horizontal="center" vertical="center" wrapText="1"/>
      <protection hidden="1"/>
    </xf>
    <xf numFmtId="0" fontId="93" fillId="0" borderId="0" xfId="2" applyFont="1" applyFill="1" applyBorder="1" applyAlignment="1" applyProtection="1">
      <alignment horizontal="center" vertical="top" wrapText="1"/>
      <protection hidden="1"/>
    </xf>
    <xf numFmtId="173" fontId="94" fillId="0" borderId="82" xfId="2" applyNumberFormat="1" applyFont="1" applyBorder="1" applyAlignment="1" applyProtection="1">
      <alignment horizontal="center" vertical="center"/>
      <protection locked="0"/>
    </xf>
    <xf numFmtId="0" fontId="37" fillId="13" borderId="82" xfId="2" applyFont="1" applyFill="1" applyBorder="1" applyAlignment="1" applyProtection="1">
      <alignment horizontal="left" vertical="center"/>
      <protection hidden="1"/>
    </xf>
    <xf numFmtId="0" fontId="93" fillId="0" borderId="82" xfId="2" applyFont="1" applyBorder="1" applyAlignment="1" applyProtection="1">
      <alignment horizontal="left" vertical="center" wrapText="1"/>
      <protection locked="0"/>
    </xf>
    <xf numFmtId="0" fontId="37" fillId="13" borderId="81" xfId="2" applyFont="1" applyFill="1" applyBorder="1" applyAlignment="1" applyProtection="1">
      <alignment horizontal="center" vertical="center" wrapText="1"/>
      <protection hidden="1"/>
    </xf>
    <xf numFmtId="0" fontId="37" fillId="13" borderId="12" xfId="2" applyFont="1" applyFill="1" applyBorder="1" applyAlignment="1" applyProtection="1">
      <alignment horizontal="center" vertical="center" wrapText="1"/>
      <protection hidden="1"/>
    </xf>
    <xf numFmtId="0" fontId="37" fillId="13" borderId="56" xfId="2" applyFont="1" applyFill="1" applyBorder="1" applyAlignment="1" applyProtection="1">
      <alignment horizontal="center" vertical="center" wrapText="1"/>
      <protection hidden="1"/>
    </xf>
    <xf numFmtId="176" fontId="73" fillId="0" borderId="85" xfId="2" applyNumberFormat="1" applyFont="1" applyBorder="1" applyAlignment="1" applyProtection="1">
      <alignment horizontal="center" vertical="center"/>
      <protection hidden="1"/>
    </xf>
    <xf numFmtId="176" fontId="73" fillId="0" borderId="84" xfId="2" applyNumberFormat="1" applyFont="1" applyBorder="1" applyAlignment="1" applyProtection="1">
      <alignment horizontal="center" vertical="center"/>
      <protection hidden="1"/>
    </xf>
    <xf numFmtId="0" fontId="37" fillId="13" borderId="70" xfId="2" applyFont="1" applyFill="1" applyBorder="1" applyAlignment="1" applyProtection="1">
      <alignment horizontal="left" vertical="center"/>
      <protection hidden="1"/>
    </xf>
    <xf numFmtId="0" fontId="37" fillId="13" borderId="71" xfId="2" applyFont="1" applyFill="1" applyBorder="1" applyAlignment="1" applyProtection="1">
      <alignment horizontal="left" vertical="center"/>
      <protection hidden="1"/>
    </xf>
    <xf numFmtId="4" fontId="73" fillId="0" borderId="85" xfId="2" applyNumberFormat="1" applyFont="1" applyBorder="1" applyAlignment="1" applyProtection="1">
      <alignment horizontal="center" vertical="center"/>
      <protection hidden="1"/>
    </xf>
    <xf numFmtId="4" fontId="73" fillId="0" borderId="84" xfId="2" applyNumberFormat="1" applyFont="1" applyBorder="1" applyAlignment="1" applyProtection="1">
      <alignment horizontal="center" vertical="center"/>
      <protection hidden="1"/>
    </xf>
    <xf numFmtId="179" fontId="73" fillId="0" borderId="85" xfId="2" applyNumberFormat="1" applyFont="1" applyBorder="1" applyAlignment="1" applyProtection="1">
      <alignment horizontal="center" vertical="center"/>
      <protection hidden="1"/>
    </xf>
    <xf numFmtId="179" fontId="73" fillId="0" borderId="84" xfId="2" applyNumberFormat="1" applyFont="1" applyBorder="1" applyAlignment="1" applyProtection="1">
      <alignment horizontal="center" vertical="center"/>
      <protection hidden="1"/>
    </xf>
    <xf numFmtId="0" fontId="42" fillId="13" borderId="70" xfId="2" applyFont="1" applyFill="1" applyBorder="1" applyAlignment="1" applyProtection="1">
      <alignment horizontal="left" vertical="distributed"/>
      <protection hidden="1"/>
    </xf>
    <xf numFmtId="0" fontId="42" fillId="13" borderId="25" xfId="2" applyFont="1" applyFill="1" applyBorder="1" applyAlignment="1" applyProtection="1">
      <alignment horizontal="left" vertical="distributed"/>
      <protection hidden="1"/>
    </xf>
    <xf numFmtId="0" fontId="42" fillId="13" borderId="71" xfId="2" applyFont="1" applyFill="1" applyBorder="1" applyAlignment="1" applyProtection="1">
      <alignment horizontal="left" vertical="distributed"/>
      <protection hidden="1"/>
    </xf>
    <xf numFmtId="1" fontId="94" fillId="0" borderId="82" xfId="2" applyNumberFormat="1" applyFont="1" applyBorder="1" applyAlignment="1" applyProtection="1">
      <alignment horizontal="center" vertical="center"/>
      <protection locked="0"/>
    </xf>
    <xf numFmtId="0" fontId="42" fillId="13" borderId="70" xfId="2" applyFont="1" applyFill="1" applyBorder="1" applyAlignment="1" applyProtection="1">
      <alignment horizontal="left" vertical="center"/>
      <protection hidden="1"/>
    </xf>
    <xf numFmtId="0" fontId="42" fillId="13" borderId="71" xfId="2" applyFont="1" applyFill="1" applyBorder="1" applyAlignment="1" applyProtection="1">
      <alignment horizontal="left" vertical="center"/>
      <protection hidden="1"/>
    </xf>
    <xf numFmtId="174" fontId="94" fillId="0" borderId="85" xfId="0" applyNumberFormat="1" applyFont="1" applyBorder="1" applyAlignment="1" applyProtection="1">
      <alignment horizontal="center" vertical="center"/>
      <protection locked="0"/>
    </xf>
    <xf numFmtId="174" fontId="94" fillId="0" borderId="84" xfId="0" applyNumberFormat="1" applyFont="1" applyBorder="1" applyAlignment="1" applyProtection="1">
      <alignment horizontal="center" vertical="center"/>
      <protection locked="0"/>
    </xf>
    <xf numFmtId="0" fontId="35" fillId="0" borderId="0" xfId="2" applyFont="1" applyAlignment="1" applyProtection="1">
      <alignment horizontal="center" vertical="center"/>
      <protection hidden="1"/>
    </xf>
    <xf numFmtId="0" fontId="29" fillId="0" borderId="0" xfId="2" applyFont="1" applyAlignment="1" applyProtection="1">
      <alignment horizontal="center" vertical="top"/>
      <protection hidden="1"/>
    </xf>
    <xf numFmtId="0" fontId="89" fillId="0" borderId="0" xfId="2" applyFont="1" applyBorder="1" applyAlignment="1" applyProtection="1">
      <alignment horizontal="center" vertical="center" wrapText="1" readingOrder="1"/>
      <protection hidden="1"/>
    </xf>
    <xf numFmtId="0" fontId="88" fillId="0" borderId="0" xfId="1" applyFont="1" applyAlignment="1" applyProtection="1">
      <alignment horizontal="left" vertical="center"/>
      <protection hidden="1"/>
    </xf>
    <xf numFmtId="173" fontId="91" fillId="0" borderId="82" xfId="2" applyNumberFormat="1" applyFont="1" applyBorder="1" applyAlignment="1" applyProtection="1">
      <alignment horizontal="center" vertical="center"/>
      <protection locked="0"/>
    </xf>
    <xf numFmtId="173" fontId="77" fillId="0" borderId="82" xfId="2" applyNumberFormat="1" applyFont="1" applyBorder="1" applyAlignment="1" applyProtection="1">
      <alignment horizontal="center" vertical="center"/>
      <protection hidden="1"/>
    </xf>
    <xf numFmtId="0" fontId="37" fillId="13" borderId="85" xfId="2" applyFont="1" applyFill="1" applyBorder="1" applyAlignment="1" applyProtection="1">
      <alignment horizontal="center" vertical="center"/>
      <protection hidden="1"/>
    </xf>
    <xf numFmtId="0" fontId="37" fillId="13" borderId="84" xfId="2" applyFont="1" applyFill="1" applyBorder="1" applyAlignment="1" applyProtection="1">
      <alignment horizontal="center" vertical="center"/>
      <protection hidden="1"/>
    </xf>
    <xf numFmtId="0" fontId="93" fillId="0" borderId="0" xfId="2" applyFont="1" applyAlignment="1">
      <alignment horizontal="left" vertical="top" wrapText="1"/>
    </xf>
    <xf numFmtId="0" fontId="42" fillId="13" borderId="82" xfId="2" applyFont="1" applyFill="1" applyBorder="1" applyAlignment="1" applyProtection="1">
      <alignment horizontal="left" vertical="distributed"/>
      <protection hidden="1"/>
    </xf>
    <xf numFmtId="0" fontId="91" fillId="0" borderId="85" xfId="2" applyNumberFormat="1" applyFont="1" applyBorder="1" applyAlignment="1" applyProtection="1">
      <alignment horizontal="center" vertical="center"/>
      <protection locked="0"/>
    </xf>
    <xf numFmtId="0" fontId="91" fillId="0" borderId="84" xfId="2" applyNumberFormat="1" applyFont="1" applyBorder="1" applyAlignment="1" applyProtection="1">
      <alignment horizontal="center" vertical="center"/>
      <protection locked="0"/>
    </xf>
    <xf numFmtId="0" fontId="114" fillId="0" borderId="70" xfId="2" applyFont="1" applyFill="1" applyBorder="1" applyAlignment="1" applyProtection="1">
      <alignment horizontal="center" vertical="center"/>
      <protection locked="0"/>
    </xf>
    <xf numFmtId="0" fontId="114" fillId="0" borderId="71" xfId="2" applyFont="1" applyFill="1" applyBorder="1" applyAlignment="1" applyProtection="1">
      <alignment horizontal="center" vertical="center"/>
      <protection locked="0"/>
    </xf>
    <xf numFmtId="0" fontId="92" fillId="0" borderId="0" xfId="2" applyFont="1" applyFill="1" applyAlignment="1">
      <alignment horizontal="center" vertical="center"/>
    </xf>
    <xf numFmtId="173" fontId="32" fillId="0" borderId="82" xfId="2" applyNumberFormat="1" applyFont="1" applyBorder="1" applyAlignment="1" applyProtection="1">
      <alignment horizontal="center" vertical="center"/>
      <protection hidden="1"/>
    </xf>
    <xf numFmtId="0" fontId="93" fillId="0" borderId="87" xfId="2" applyFont="1" applyBorder="1" applyAlignment="1">
      <alignment horizontal="left" vertical="top" wrapText="1"/>
    </xf>
    <xf numFmtId="0" fontId="93" fillId="0" borderId="88" xfId="2" applyFont="1" applyBorder="1" applyAlignment="1">
      <alignment horizontal="left" vertical="top" wrapText="1"/>
    </xf>
    <xf numFmtId="0" fontId="93" fillId="0" borderId="89" xfId="2" applyFont="1" applyBorder="1" applyAlignment="1">
      <alignment horizontal="left" vertical="top" wrapText="1"/>
    </xf>
    <xf numFmtId="0" fontId="93" fillId="0" borderId="90" xfId="2" applyFont="1" applyBorder="1" applyAlignment="1">
      <alignment horizontal="left" vertical="top" wrapText="1"/>
    </xf>
    <xf numFmtId="0" fontId="93" fillId="0" borderId="91" xfId="2" applyFont="1" applyBorder="1" applyAlignment="1">
      <alignment horizontal="left" vertical="top" wrapText="1"/>
    </xf>
    <xf numFmtId="0" fontId="93" fillId="0" borderId="92" xfId="2" applyFont="1" applyBorder="1" applyAlignment="1">
      <alignment horizontal="left" vertical="top" wrapText="1"/>
    </xf>
    <xf numFmtId="0" fontId="112" fillId="0" borderId="0" xfId="2" applyFont="1" applyAlignment="1">
      <alignment horizontal="center" vertical="center"/>
    </xf>
    <xf numFmtId="0" fontId="37" fillId="0" borderId="0" xfId="2" applyNumberFormat="1" applyFont="1" applyFill="1" applyBorder="1" applyAlignment="1" applyProtection="1">
      <alignment horizontal="left" vertical="center"/>
      <protection hidden="1"/>
    </xf>
    <xf numFmtId="0" fontId="37" fillId="13" borderId="83" xfId="2" applyFont="1" applyFill="1" applyBorder="1" applyAlignment="1" applyProtection="1">
      <alignment horizontal="center" vertical="center"/>
      <protection hidden="1"/>
    </xf>
    <xf numFmtId="0" fontId="37" fillId="13" borderId="86" xfId="2" applyFont="1" applyFill="1" applyBorder="1" applyAlignment="1" applyProtection="1">
      <alignment horizontal="left" vertical="center"/>
      <protection hidden="1"/>
    </xf>
    <xf numFmtId="0" fontId="37" fillId="13" borderId="72" xfId="2" applyFont="1" applyFill="1" applyBorder="1" applyAlignment="1" applyProtection="1">
      <alignment horizontal="left" vertical="center"/>
      <protection hidden="1"/>
    </xf>
    <xf numFmtId="0" fontId="37" fillId="13" borderId="73" xfId="2" applyFont="1" applyFill="1" applyBorder="1" applyAlignment="1" applyProtection="1">
      <alignment horizontal="left" vertical="center"/>
      <protection hidden="1"/>
    </xf>
    <xf numFmtId="0" fontId="42" fillId="13" borderId="86" xfId="2" applyFont="1" applyFill="1" applyBorder="1" applyAlignment="1" applyProtection="1">
      <alignment horizontal="left" vertical="distributed"/>
      <protection hidden="1"/>
    </xf>
    <xf numFmtId="175" fontId="93" fillId="0" borderId="85" xfId="0" applyNumberFormat="1" applyFont="1" applyBorder="1" applyAlignment="1" applyProtection="1">
      <alignment horizontal="center" vertical="center"/>
      <protection locked="0"/>
    </xf>
    <xf numFmtId="175" fontId="93" fillId="0" borderId="84" xfId="0" applyNumberFormat="1" applyFont="1" applyBorder="1" applyAlignment="1" applyProtection="1">
      <alignment horizontal="center" vertical="center"/>
      <protection locked="0"/>
    </xf>
    <xf numFmtId="0" fontId="93" fillId="0" borderId="85" xfId="0" applyNumberFormat="1" applyFont="1" applyBorder="1" applyAlignment="1" applyProtection="1">
      <alignment horizontal="center" vertical="center"/>
      <protection locked="0"/>
    </xf>
    <xf numFmtId="0" fontId="93" fillId="0" borderId="84" xfId="0" applyNumberFormat="1" applyFont="1" applyBorder="1" applyAlignment="1" applyProtection="1">
      <alignment horizontal="center" vertical="center"/>
      <protection locked="0"/>
    </xf>
    <xf numFmtId="164" fontId="94" fillId="0" borderId="86" xfId="0" applyNumberFormat="1" applyFont="1" applyBorder="1" applyAlignment="1" applyProtection="1">
      <alignment horizontal="center" vertical="center"/>
      <protection locked="0"/>
    </xf>
    <xf numFmtId="0" fontId="110" fillId="0" borderId="0" xfId="2" applyFont="1" applyFill="1" applyBorder="1" applyAlignment="1" applyProtection="1">
      <alignment horizontal="center" vertical="center" wrapText="1"/>
      <protection hidden="1"/>
    </xf>
    <xf numFmtId="0" fontId="37" fillId="0" borderId="69" xfId="2" applyNumberFormat="1" applyFont="1" applyFill="1" applyBorder="1" applyAlignment="1" applyProtection="1">
      <alignment horizontal="left" vertical="center"/>
      <protection hidden="1"/>
    </xf>
    <xf numFmtId="0" fontId="46" fillId="0" borderId="69" xfId="0" applyNumberFormat="1" applyFont="1" applyFill="1" applyBorder="1" applyAlignment="1" applyProtection="1">
      <alignment horizontal="center" vertical="distributed"/>
      <protection hidden="1"/>
    </xf>
    <xf numFmtId="0" fontId="90" fillId="0" borderId="0" xfId="2" applyFont="1" applyAlignment="1" applyProtection="1">
      <alignment horizontal="center" vertical="center"/>
      <protection hidden="1"/>
    </xf>
    <xf numFmtId="0" fontId="36" fillId="0" borderId="0" xfId="2" applyFont="1" applyAlignment="1" applyProtection="1">
      <alignment horizontal="center" vertical="center"/>
      <protection hidden="1"/>
    </xf>
    <xf numFmtId="0" fontId="113" fillId="0" borderId="0" xfId="2" applyFont="1" applyFill="1" applyBorder="1" applyAlignment="1" applyProtection="1">
      <alignment horizontal="center" vertical="center" wrapText="1"/>
      <protection hidden="1"/>
    </xf>
    <xf numFmtId="0" fontId="108" fillId="0" borderId="0" xfId="2" applyFont="1" applyFill="1" applyBorder="1" applyAlignment="1" applyProtection="1">
      <alignment horizontal="left" vertical="top" wrapText="1"/>
      <protection hidden="1"/>
    </xf>
    <xf numFmtId="0" fontId="42" fillId="13" borderId="85" xfId="2" applyFont="1" applyFill="1" applyBorder="1" applyAlignment="1" applyProtection="1">
      <alignment horizontal="left" vertical="distributed"/>
      <protection hidden="1"/>
    </xf>
    <xf numFmtId="0" fontId="42" fillId="13" borderId="83" xfId="2" applyFont="1" applyFill="1" applyBorder="1" applyAlignment="1" applyProtection="1">
      <alignment horizontal="left" vertical="distributed"/>
      <protection hidden="1"/>
    </xf>
    <xf numFmtId="0" fontId="42" fillId="13" borderId="84" xfId="2" applyFont="1" applyFill="1" applyBorder="1" applyAlignment="1" applyProtection="1">
      <alignment horizontal="left" vertical="distributed"/>
      <protection hidden="1"/>
    </xf>
    <xf numFmtId="178" fontId="73" fillId="0" borderId="85" xfId="2" applyNumberFormat="1" applyFont="1" applyBorder="1" applyAlignment="1" applyProtection="1">
      <alignment horizontal="center" vertical="center"/>
      <protection hidden="1"/>
    </xf>
    <xf numFmtId="178" fontId="73" fillId="0" borderId="84" xfId="2" applyNumberFormat="1" applyFont="1" applyBorder="1" applyAlignment="1" applyProtection="1">
      <alignment horizontal="center" vertical="center"/>
      <protection hidden="1"/>
    </xf>
    <xf numFmtId="0" fontId="45" fillId="13" borderId="81" xfId="2" applyFont="1" applyFill="1" applyBorder="1" applyAlignment="1" applyProtection="1">
      <alignment horizontal="center" vertical="center" wrapText="1"/>
      <protection hidden="1"/>
    </xf>
    <xf numFmtId="0" fontId="45" fillId="13" borderId="56" xfId="2" applyFont="1" applyFill="1" applyBorder="1" applyAlignment="1" applyProtection="1">
      <alignment horizontal="center" vertical="center" wrapText="1"/>
      <protection hidden="1"/>
    </xf>
    <xf numFmtId="0" fontId="45" fillId="13" borderId="12" xfId="2" applyFont="1" applyFill="1" applyBorder="1" applyAlignment="1" applyProtection="1">
      <alignment horizontal="center" vertical="center" wrapText="1"/>
      <protection hidden="1"/>
    </xf>
    <xf numFmtId="174" fontId="94" fillId="0" borderId="70" xfId="2" applyNumberFormat="1" applyFont="1" applyBorder="1" applyAlignment="1" applyProtection="1">
      <alignment horizontal="center" vertical="distributed"/>
      <protection locked="0"/>
    </xf>
    <xf numFmtId="174" fontId="94" fillId="0" borderId="71" xfId="2" applyNumberFormat="1" applyFont="1" applyBorder="1" applyAlignment="1" applyProtection="1">
      <alignment horizontal="center" vertical="distributed"/>
      <protection locked="0"/>
    </xf>
    <xf numFmtId="0" fontId="37" fillId="13" borderId="70" xfId="2" applyFont="1" applyFill="1" applyBorder="1" applyAlignment="1" applyProtection="1">
      <alignment horizontal="center" vertical="center"/>
      <protection hidden="1"/>
    </xf>
    <xf numFmtId="0" fontId="37" fillId="13" borderId="71" xfId="2" applyFont="1" applyFill="1" applyBorder="1" applyAlignment="1" applyProtection="1">
      <alignment horizontal="center" vertical="center"/>
      <protection hidden="1"/>
    </xf>
    <xf numFmtId="0" fontId="37" fillId="13" borderId="72" xfId="2" applyFont="1" applyFill="1" applyBorder="1" applyAlignment="1" applyProtection="1">
      <alignment horizontal="center" vertical="center"/>
      <protection hidden="1"/>
    </xf>
    <xf numFmtId="0" fontId="37" fillId="13" borderId="69" xfId="2" applyFont="1" applyFill="1" applyBorder="1" applyAlignment="1" applyProtection="1">
      <alignment horizontal="center" vertical="center"/>
      <protection hidden="1"/>
    </xf>
    <xf numFmtId="0" fontId="37" fillId="13" borderId="73" xfId="2" applyFont="1" applyFill="1" applyBorder="1" applyAlignment="1" applyProtection="1">
      <alignment horizontal="center" vertical="center"/>
      <protection hidden="1"/>
    </xf>
    <xf numFmtId="0" fontId="37" fillId="13" borderId="57" xfId="2" applyFont="1" applyFill="1" applyBorder="1" applyAlignment="1" applyProtection="1">
      <alignment horizontal="center" vertical="center"/>
      <protection hidden="1"/>
    </xf>
    <xf numFmtId="0" fontId="37" fillId="13" borderId="0" xfId="2" applyFont="1" applyFill="1" applyBorder="1" applyAlignment="1" applyProtection="1">
      <alignment horizontal="center" vertical="center"/>
      <protection hidden="1"/>
    </xf>
    <xf numFmtId="0" fontId="37" fillId="13" borderId="80" xfId="2" applyFont="1" applyFill="1" applyBorder="1" applyAlignment="1" applyProtection="1">
      <alignment horizontal="center" vertical="center"/>
      <protection hidden="1"/>
    </xf>
    <xf numFmtId="0" fontId="37" fillId="13" borderId="74" xfId="2" applyFont="1" applyFill="1" applyBorder="1" applyAlignment="1" applyProtection="1">
      <alignment horizontal="center" vertical="center"/>
      <protection hidden="1"/>
    </xf>
    <xf numFmtId="0" fontId="37" fillId="13" borderId="75" xfId="2" applyFont="1" applyFill="1" applyBorder="1" applyAlignment="1" applyProtection="1">
      <alignment horizontal="center" vertical="center"/>
      <protection hidden="1"/>
    </xf>
    <xf numFmtId="0" fontId="37" fillId="13" borderId="64" xfId="2" applyFont="1" applyFill="1" applyBorder="1" applyAlignment="1" applyProtection="1">
      <alignment horizontal="center" vertical="center"/>
      <protection hidden="1"/>
    </xf>
    <xf numFmtId="0" fontId="37" fillId="13" borderId="82" xfId="2" applyFont="1" applyFill="1" applyBorder="1" applyAlignment="1" applyProtection="1">
      <alignment horizontal="center" vertical="center"/>
      <protection hidden="1"/>
    </xf>
    <xf numFmtId="0" fontId="96" fillId="0" borderId="0" xfId="2" applyFont="1" applyAlignment="1" applyProtection="1">
      <alignment horizontal="center" vertical="center"/>
      <protection hidden="1"/>
    </xf>
    <xf numFmtId="0" fontId="99" fillId="0" borderId="0" xfId="2" applyFont="1" applyFill="1" applyBorder="1" applyAlignment="1" applyProtection="1">
      <alignment horizontal="center" vertical="center" wrapText="1"/>
      <protection hidden="1"/>
    </xf>
    <xf numFmtId="0" fontId="111" fillId="0" borderId="0" xfId="2" applyFont="1" applyFill="1" applyBorder="1" applyAlignment="1" applyProtection="1">
      <alignment horizontal="center" vertical="center" wrapText="1"/>
      <protection hidden="1"/>
    </xf>
    <xf numFmtId="0" fontId="46" fillId="0" borderId="0" xfId="0" applyNumberFormat="1" applyFont="1" applyFill="1" applyBorder="1" applyAlignment="1" applyProtection="1">
      <alignment horizontal="center" vertical="distributed"/>
      <protection hidden="1"/>
    </xf>
    <xf numFmtId="0" fontId="112" fillId="0" borderId="0" xfId="2" applyFont="1" applyAlignment="1" applyProtection="1">
      <alignment horizontal="center" vertical="center"/>
      <protection hidden="1"/>
    </xf>
    <xf numFmtId="0" fontId="93" fillId="0" borderId="0" xfId="2" applyFont="1" applyFill="1" applyBorder="1" applyAlignment="1" applyProtection="1">
      <alignment horizontal="center" vertical="center" wrapText="1"/>
      <protection hidden="1"/>
    </xf>
    <xf numFmtId="0" fontId="93" fillId="0" borderId="0" xfId="2" applyFont="1" applyBorder="1" applyAlignment="1">
      <alignment horizontal="left" vertical="top" wrapText="1"/>
    </xf>
    <xf numFmtId="0" fontId="93" fillId="0" borderId="0" xfId="2" applyFont="1" applyAlignment="1">
      <alignment horizontal="center" vertical="center"/>
    </xf>
    <xf numFmtId="0" fontId="93" fillId="0" borderId="57" xfId="2" applyFont="1" applyBorder="1" applyAlignment="1">
      <alignment horizontal="center" vertical="top" wrapText="1"/>
    </xf>
    <xf numFmtId="0" fontId="93" fillId="0" borderId="0" xfId="2" applyFont="1" applyAlignment="1">
      <alignment horizontal="center" vertical="top" wrapText="1"/>
    </xf>
    <xf numFmtId="0" fontId="37" fillId="13" borderId="85" xfId="2" applyFont="1" applyFill="1" applyBorder="1" applyAlignment="1" applyProtection="1">
      <alignment horizontal="left" vertical="center"/>
      <protection hidden="1"/>
    </xf>
    <xf numFmtId="0" fontId="37" fillId="13" borderId="84" xfId="2" applyFont="1" applyFill="1" applyBorder="1" applyAlignment="1" applyProtection="1">
      <alignment horizontal="left" vertical="center"/>
      <protection hidden="1"/>
    </xf>
    <xf numFmtId="0" fontId="37" fillId="0" borderId="0" xfId="2" applyFont="1" applyFill="1" applyBorder="1" applyAlignment="1" applyProtection="1">
      <alignment horizontal="center" vertical="center" wrapText="1"/>
      <protection hidden="1"/>
    </xf>
    <xf numFmtId="0" fontId="37" fillId="0" borderId="80" xfId="2" applyFont="1" applyFill="1" applyBorder="1" applyAlignment="1" applyProtection="1">
      <alignment horizontal="center" vertical="center" wrapText="1"/>
      <protection hidden="1"/>
    </xf>
    <xf numFmtId="0" fontId="37" fillId="13" borderId="72" xfId="2" applyFont="1" applyFill="1" applyBorder="1" applyAlignment="1" applyProtection="1">
      <alignment horizontal="center" vertical="center" wrapText="1"/>
      <protection hidden="1"/>
    </xf>
    <xf numFmtId="0" fontId="37" fillId="13" borderId="73" xfId="2" applyFont="1" applyFill="1" applyBorder="1" applyAlignment="1" applyProtection="1">
      <alignment horizontal="center" vertical="center" wrapText="1"/>
      <protection hidden="1"/>
    </xf>
    <xf numFmtId="0" fontId="37" fillId="13" borderId="74" xfId="2" applyFont="1" applyFill="1" applyBorder="1" applyAlignment="1" applyProtection="1">
      <alignment horizontal="center" vertical="center" wrapText="1"/>
      <protection hidden="1"/>
    </xf>
    <xf numFmtId="0" fontId="37" fillId="13" borderId="64" xfId="2" applyFont="1" applyFill="1" applyBorder="1" applyAlignment="1" applyProtection="1">
      <alignment horizontal="center" vertical="center" wrapText="1"/>
      <protection hidden="1"/>
    </xf>
    <xf numFmtId="0" fontId="27" fillId="13" borderId="85" xfId="2" applyFont="1" applyFill="1" applyBorder="1" applyAlignment="1" applyProtection="1">
      <alignment horizontal="center" vertical="center"/>
      <protection hidden="1"/>
    </xf>
    <xf numFmtId="0" fontId="27" fillId="13" borderId="84" xfId="2" applyFont="1" applyFill="1" applyBorder="1" applyAlignment="1" applyProtection="1">
      <alignment horizontal="center" vertical="center"/>
      <protection hidden="1"/>
    </xf>
    <xf numFmtId="0" fontId="42" fillId="0" borderId="0" xfId="0" applyFont="1" applyAlignment="1" applyProtection="1">
      <alignment horizontal="left" vertical="top"/>
      <protection hidden="1"/>
    </xf>
    <xf numFmtId="0" fontId="80" fillId="0" borderId="0" xfId="1" applyFont="1" applyFill="1" applyBorder="1" applyAlignment="1" applyProtection="1">
      <alignment horizontal="center" vertical="center"/>
      <protection hidden="1"/>
    </xf>
    <xf numFmtId="0" fontId="27" fillId="0" borderId="0" xfId="0" applyFont="1" applyAlignment="1" applyProtection="1">
      <alignment horizontal="center" vertical="top"/>
      <protection hidden="1"/>
    </xf>
    <xf numFmtId="169" fontId="52" fillId="0" borderId="0" xfId="0" applyNumberFormat="1" applyFont="1" applyBorder="1" applyAlignment="1" applyProtection="1">
      <alignment horizontal="center" vertical="distributed"/>
      <protection hidden="1"/>
    </xf>
    <xf numFmtId="0" fontId="26" fillId="0" borderId="0" xfId="0" applyFont="1" applyFill="1" applyBorder="1" applyAlignment="1" applyProtection="1">
      <alignment horizontal="center" vertical="center"/>
      <protection hidden="1"/>
    </xf>
    <xf numFmtId="0" fontId="93" fillId="0" borderId="82" xfId="2" applyFont="1" applyBorder="1" applyAlignment="1" applyProtection="1">
      <alignment horizontal="left" vertical="center" wrapText="1"/>
      <protection hidden="1"/>
    </xf>
    <xf numFmtId="0" fontId="48" fillId="0" borderId="0" xfId="1" applyFont="1" applyAlignment="1" applyProtection="1">
      <alignment horizontal="center" vertical="center"/>
      <protection hidden="1"/>
    </xf>
    <xf numFmtId="0" fontId="26" fillId="0" borderId="0" xfId="2" applyFont="1" applyFill="1" applyBorder="1" applyAlignment="1" applyProtection="1">
      <alignment horizontal="center" vertical="center"/>
      <protection hidden="1"/>
    </xf>
    <xf numFmtId="0" fontId="27" fillId="13" borderId="85" xfId="0" applyFont="1" applyFill="1" applyBorder="1" applyAlignment="1" applyProtection="1">
      <alignment horizontal="center" vertical="center"/>
      <protection hidden="1"/>
    </xf>
    <xf numFmtId="0" fontId="27" fillId="13" borderId="84" xfId="0" applyFont="1" applyFill="1" applyBorder="1" applyAlignment="1" applyProtection="1">
      <alignment horizontal="center" vertical="center"/>
      <protection hidden="1"/>
    </xf>
    <xf numFmtId="0" fontId="37" fillId="13" borderId="72" xfId="0" applyFont="1" applyFill="1" applyBorder="1" applyAlignment="1" applyProtection="1">
      <alignment horizontal="center" vertical="center" wrapText="1"/>
      <protection hidden="1"/>
    </xf>
    <xf numFmtId="0" fontId="37" fillId="13" borderId="73" xfId="0" applyFont="1" applyFill="1" applyBorder="1" applyAlignment="1" applyProtection="1">
      <alignment horizontal="center" vertical="center" wrapText="1"/>
      <protection hidden="1"/>
    </xf>
    <xf numFmtId="0" fontId="37" fillId="13" borderId="81" xfId="0" applyFont="1" applyFill="1" applyBorder="1" applyAlignment="1" applyProtection="1">
      <alignment horizontal="center" vertical="center" wrapText="1"/>
      <protection hidden="1"/>
    </xf>
    <xf numFmtId="0" fontId="37" fillId="13" borderId="12" xfId="0" applyFont="1" applyFill="1" applyBorder="1" applyAlignment="1" applyProtection="1">
      <alignment horizontal="center" vertical="center" wrapText="1"/>
      <protection hidden="1"/>
    </xf>
    <xf numFmtId="0" fontId="34" fillId="0" borderId="0" xfId="0" applyFont="1" applyAlignment="1" applyProtection="1">
      <alignment horizontal="center" vertical="center"/>
      <protection hidden="1"/>
    </xf>
    <xf numFmtId="0" fontId="24" fillId="0" borderId="0" xfId="0" applyFont="1" applyFill="1" applyBorder="1" applyAlignment="1" applyProtection="1">
      <alignment horizontal="center" vertical="center"/>
      <protection hidden="1"/>
    </xf>
    <xf numFmtId="0" fontId="37" fillId="0" borderId="0" xfId="0" applyNumberFormat="1" applyFont="1" applyAlignment="1" applyProtection="1">
      <alignment horizontal="left" vertical="top" wrapText="1"/>
      <protection hidden="1"/>
    </xf>
    <xf numFmtId="176" fontId="73" fillId="0" borderId="81" xfId="0" applyNumberFormat="1" applyFont="1" applyBorder="1" applyAlignment="1" applyProtection="1">
      <alignment horizontal="center" vertical="distributed"/>
      <protection hidden="1"/>
    </xf>
    <xf numFmtId="176" fontId="73" fillId="0" borderId="56" xfId="0" applyNumberFormat="1" applyFont="1" applyBorder="1" applyAlignment="1" applyProtection="1">
      <alignment horizontal="center" vertical="distributed"/>
      <protection hidden="1"/>
    </xf>
    <xf numFmtId="176" fontId="73" fillId="0" borderId="12" xfId="0" applyNumberFormat="1" applyFont="1" applyBorder="1" applyAlignment="1" applyProtection="1">
      <alignment horizontal="center" vertical="distributed"/>
      <protection hidden="1"/>
    </xf>
    <xf numFmtId="0" fontId="0" fillId="0" borderId="0" xfId="0" applyAlignment="1" applyProtection="1">
      <alignment horizontal="center"/>
      <protection hidden="1"/>
    </xf>
    <xf numFmtId="0" fontId="73" fillId="0" borderId="0" xfId="0" applyFont="1" applyAlignment="1" applyProtection="1">
      <alignment horizontal="center" vertical="center" wrapText="1"/>
      <protection hidden="1"/>
    </xf>
    <xf numFmtId="0" fontId="27" fillId="2" borderId="85" xfId="0" applyFont="1" applyFill="1" applyBorder="1" applyAlignment="1" applyProtection="1">
      <alignment horizontal="left" vertical="center"/>
      <protection hidden="1"/>
    </xf>
    <xf numFmtId="0" fontId="27" fillId="2" borderId="84" xfId="0" applyFont="1" applyFill="1" applyBorder="1" applyAlignment="1" applyProtection="1">
      <alignment horizontal="left" vertical="center"/>
      <protection hidden="1"/>
    </xf>
    <xf numFmtId="0" fontId="56" fillId="6" borderId="54" xfId="0" applyFont="1" applyFill="1" applyBorder="1" applyAlignment="1" applyProtection="1">
      <alignment horizontal="center" vertical="center" wrapText="1"/>
      <protection hidden="1"/>
    </xf>
    <xf numFmtId="0" fontId="56" fillId="6" borderId="58" xfId="0" applyFont="1" applyFill="1" applyBorder="1" applyAlignment="1" applyProtection="1">
      <alignment horizontal="center" vertical="center" wrapText="1"/>
      <protection hidden="1"/>
    </xf>
    <xf numFmtId="0" fontId="79" fillId="0" borderId="0" xfId="1" applyFont="1" applyFill="1" applyBorder="1" applyAlignment="1" applyProtection="1">
      <alignment horizontal="center" vertical="center"/>
    </xf>
    <xf numFmtId="0" fontId="56" fillId="6" borderId="48" xfId="0" applyFont="1" applyFill="1" applyBorder="1" applyAlignment="1" applyProtection="1">
      <alignment horizontal="center" vertical="center" wrapText="1"/>
      <protection hidden="1"/>
    </xf>
    <xf numFmtId="0" fontId="56" fillId="6" borderId="49" xfId="0" applyFont="1" applyFill="1" applyBorder="1" applyAlignment="1" applyProtection="1">
      <alignment horizontal="center" vertical="center" wrapText="1"/>
      <protection hidden="1"/>
    </xf>
    <xf numFmtId="0" fontId="102" fillId="0" borderId="0" xfId="0" applyFont="1" applyAlignment="1" applyProtection="1">
      <alignment horizontal="center" vertical="center" wrapText="1"/>
      <protection hidden="1"/>
    </xf>
    <xf numFmtId="0" fontId="58" fillId="0" borderId="0" xfId="0" applyFont="1" applyAlignment="1" applyProtection="1">
      <alignment horizontal="center" vertical="center"/>
      <protection hidden="1"/>
    </xf>
    <xf numFmtId="0" fontId="66" fillId="0" borderId="0" xfId="0" applyFont="1" applyAlignment="1" applyProtection="1">
      <alignment horizontal="center" vertical="center"/>
      <protection hidden="1"/>
    </xf>
    <xf numFmtId="0" fontId="67" fillId="2" borderId="85" xfId="0" applyFont="1" applyFill="1" applyBorder="1" applyAlignment="1" applyProtection="1">
      <alignment horizontal="left" vertical="center"/>
      <protection hidden="1"/>
    </xf>
    <xf numFmtId="0" fontId="67" fillId="2" borderId="84" xfId="0" applyFont="1" applyFill="1" applyBorder="1" applyAlignment="1" applyProtection="1">
      <alignment horizontal="left" vertical="center"/>
      <protection hidden="1"/>
    </xf>
    <xf numFmtId="0" fontId="55" fillId="6" borderId="24" xfId="0" applyFont="1" applyFill="1" applyBorder="1" applyAlignment="1" applyProtection="1">
      <alignment horizontal="center" vertical="center" wrapText="1"/>
      <protection hidden="1"/>
    </xf>
    <xf numFmtId="0" fontId="55" fillId="6" borderId="3" xfId="0" applyFont="1" applyFill="1" applyBorder="1" applyAlignment="1" applyProtection="1">
      <alignment horizontal="center" vertical="center" wrapText="1"/>
      <protection hidden="1"/>
    </xf>
    <xf numFmtId="0" fontId="55" fillId="6" borderId="51" xfId="0" applyFont="1" applyFill="1" applyBorder="1" applyAlignment="1" applyProtection="1">
      <alignment horizontal="center" vertical="center" wrapText="1"/>
      <protection hidden="1"/>
    </xf>
    <xf numFmtId="173" fontId="46" fillId="0" borderId="70" xfId="0" applyNumberFormat="1" applyFont="1" applyBorder="1" applyAlignment="1" applyProtection="1">
      <alignment horizontal="center" vertical="center"/>
      <protection hidden="1"/>
    </xf>
    <xf numFmtId="173" fontId="46" fillId="0" borderId="71" xfId="0" applyNumberFormat="1" applyFont="1" applyBorder="1" applyAlignment="1" applyProtection="1">
      <alignment horizontal="center" vertical="center"/>
      <protection hidden="1"/>
    </xf>
    <xf numFmtId="173" fontId="46" fillId="0" borderId="85" xfId="0" applyNumberFormat="1" applyFont="1" applyBorder="1" applyAlignment="1" applyProtection="1">
      <alignment horizontal="center" vertical="center"/>
      <protection hidden="1"/>
    </xf>
    <xf numFmtId="173" fontId="46" fillId="0" borderId="84" xfId="0" applyNumberFormat="1" applyFont="1" applyBorder="1" applyAlignment="1" applyProtection="1">
      <alignment horizontal="center" vertical="center"/>
      <protection hidden="1"/>
    </xf>
    <xf numFmtId="164" fontId="46" fillId="0" borderId="85" xfId="0" applyNumberFormat="1" applyFont="1" applyBorder="1" applyAlignment="1" applyProtection="1">
      <alignment horizontal="center" vertical="center"/>
      <protection hidden="1"/>
    </xf>
    <xf numFmtId="164" fontId="46" fillId="0" borderId="84" xfId="0" applyNumberFormat="1" applyFont="1" applyBorder="1" applyAlignment="1" applyProtection="1">
      <alignment horizontal="center" vertical="center"/>
      <protection hidden="1"/>
    </xf>
    <xf numFmtId="0" fontId="101" fillId="0" borderId="0" xfId="0" applyFont="1" applyAlignment="1" applyProtection="1">
      <alignment horizontal="center" vertical="top" wrapText="1"/>
      <protection hidden="1"/>
    </xf>
    <xf numFmtId="0" fontId="59" fillId="0" borderId="0" xfId="1" applyFont="1" applyAlignment="1" applyProtection="1">
      <alignment horizontal="center" vertical="center"/>
      <protection hidden="1"/>
    </xf>
    <xf numFmtId="0" fontId="104" fillId="0" borderId="0" xfId="0" applyFont="1" applyAlignment="1" applyProtection="1">
      <alignment horizontal="center" vertical="center" wrapText="1"/>
      <protection hidden="1"/>
    </xf>
    <xf numFmtId="0" fontId="105" fillId="0" borderId="0" xfId="0" applyFont="1" applyAlignment="1" applyProtection="1">
      <alignment horizontal="center" vertical="center" wrapText="1"/>
      <protection hidden="1"/>
    </xf>
    <xf numFmtId="0" fontId="60" fillId="0" borderId="0" xfId="0" applyFont="1" applyAlignment="1" applyProtection="1">
      <alignment horizontal="center" vertical="center" wrapText="1"/>
      <protection hidden="1"/>
    </xf>
    <xf numFmtId="0" fontId="30" fillId="6" borderId="54" xfId="0" applyFont="1" applyFill="1" applyBorder="1" applyAlignment="1" applyProtection="1">
      <alignment horizontal="center" vertical="center" wrapText="1" readingOrder="1"/>
      <protection hidden="1"/>
    </xf>
    <xf numFmtId="0" fontId="30" fillId="6" borderId="23" xfId="0" applyFont="1" applyFill="1" applyBorder="1" applyAlignment="1" applyProtection="1">
      <alignment horizontal="center" vertical="center" wrapText="1" readingOrder="1"/>
      <protection hidden="1"/>
    </xf>
    <xf numFmtId="0" fontId="30" fillId="6" borderId="48" xfId="0" applyFont="1" applyFill="1" applyBorder="1" applyAlignment="1" applyProtection="1">
      <alignment horizontal="center" vertical="center" wrapText="1" readingOrder="1"/>
      <protection hidden="1"/>
    </xf>
    <xf numFmtId="0" fontId="30" fillId="6" borderId="49" xfId="0" applyFont="1" applyFill="1" applyBorder="1" applyAlignment="1" applyProtection="1">
      <alignment horizontal="center" vertical="center" wrapText="1" readingOrder="1"/>
      <protection hidden="1"/>
    </xf>
    <xf numFmtId="0" fontId="27" fillId="2" borderId="70" xfId="0" applyFont="1" applyFill="1" applyBorder="1" applyAlignment="1" applyProtection="1">
      <alignment horizontal="center" vertical="center"/>
      <protection hidden="1"/>
    </xf>
    <xf numFmtId="0" fontId="27" fillId="2" borderId="25" xfId="0" applyFont="1" applyFill="1" applyBorder="1" applyAlignment="1" applyProtection="1">
      <alignment horizontal="center" vertical="center"/>
      <protection hidden="1"/>
    </xf>
    <xf numFmtId="0" fontId="27" fillId="2" borderId="70" xfId="0" applyFont="1" applyFill="1" applyBorder="1" applyAlignment="1" applyProtection="1">
      <alignment horizontal="left" vertical="center"/>
      <protection hidden="1"/>
    </xf>
    <xf numFmtId="0" fontId="27" fillId="2" borderId="25" xfId="0" applyFont="1" applyFill="1" applyBorder="1" applyAlignment="1" applyProtection="1">
      <alignment horizontal="left" vertical="center"/>
      <protection hidden="1"/>
    </xf>
    <xf numFmtId="0" fontId="67" fillId="2" borderId="70" xfId="0" applyFont="1" applyFill="1" applyBorder="1" applyAlignment="1" applyProtection="1">
      <alignment horizontal="left" vertical="center"/>
      <protection hidden="1"/>
    </xf>
    <xf numFmtId="0" fontId="67" fillId="2" borderId="25" xfId="0" applyFont="1" applyFill="1" applyBorder="1" applyAlignment="1" applyProtection="1">
      <alignment horizontal="left" vertical="center"/>
      <protection hidden="1"/>
    </xf>
    <xf numFmtId="0" fontId="27" fillId="10" borderId="37" xfId="0" applyFont="1" applyFill="1" applyBorder="1" applyAlignment="1" applyProtection="1">
      <alignment horizontal="center" vertical="center" wrapText="1" readingOrder="1"/>
      <protection hidden="1"/>
    </xf>
    <xf numFmtId="0" fontId="27" fillId="10" borderId="23" xfId="0" applyFont="1" applyFill="1" applyBorder="1" applyAlignment="1" applyProtection="1">
      <alignment horizontal="center" vertical="center" wrapText="1" readingOrder="1"/>
      <protection hidden="1"/>
    </xf>
    <xf numFmtId="0" fontId="27" fillId="10" borderId="38" xfId="0" applyFont="1" applyFill="1" applyBorder="1" applyAlignment="1" applyProtection="1">
      <alignment horizontal="center" vertical="center" wrapText="1" readingOrder="1"/>
      <protection hidden="1"/>
    </xf>
    <xf numFmtId="0" fontId="27" fillId="10" borderId="60" xfId="0" applyFont="1" applyFill="1" applyBorder="1" applyAlignment="1" applyProtection="1">
      <alignment horizontal="center" vertical="center" wrapText="1" readingOrder="1"/>
      <protection hidden="1"/>
    </xf>
    <xf numFmtId="0" fontId="27" fillId="10" borderId="73" xfId="0" applyFont="1" applyFill="1" applyBorder="1" applyAlignment="1" applyProtection="1">
      <alignment horizontal="center" vertical="center" wrapText="1" readingOrder="1"/>
      <protection hidden="1"/>
    </xf>
    <xf numFmtId="0" fontId="27" fillId="10" borderId="51" xfId="0" applyFont="1" applyFill="1" applyBorder="1" applyAlignment="1" applyProtection="1">
      <alignment horizontal="center" vertical="center" wrapText="1" readingOrder="1"/>
      <protection hidden="1"/>
    </xf>
    <xf numFmtId="0" fontId="61" fillId="0" borderId="37" xfId="0" applyFont="1" applyBorder="1" applyAlignment="1" applyProtection="1">
      <alignment horizontal="center" vertical="center" wrapText="1" readingOrder="1"/>
      <protection hidden="1"/>
    </xf>
    <xf numFmtId="0" fontId="61" fillId="0" borderId="23" xfId="0" applyFont="1" applyBorder="1" applyAlignment="1" applyProtection="1">
      <alignment horizontal="center" vertical="center" wrapText="1" readingOrder="1"/>
      <protection hidden="1"/>
    </xf>
    <xf numFmtId="0" fontId="30" fillId="0" borderId="37" xfId="0" applyFont="1" applyBorder="1" applyAlignment="1" applyProtection="1">
      <alignment horizontal="center" vertical="center" wrapText="1" readingOrder="1"/>
      <protection hidden="1"/>
    </xf>
    <xf numFmtId="0" fontId="30" fillId="0" borderId="23" xfId="0" applyFont="1" applyBorder="1" applyAlignment="1" applyProtection="1">
      <alignment horizontal="center" vertical="center" wrapText="1" readingOrder="1"/>
      <protection hidden="1"/>
    </xf>
    <xf numFmtId="0" fontId="27" fillId="0" borderId="37" xfId="0" applyFont="1" applyBorder="1" applyAlignment="1" applyProtection="1">
      <alignment horizontal="center" vertical="center" wrapText="1" readingOrder="2"/>
      <protection hidden="1"/>
    </xf>
    <xf numFmtId="0" fontId="27" fillId="0" borderId="23" xfId="0" applyFont="1" applyBorder="1" applyAlignment="1" applyProtection="1">
      <alignment horizontal="center" vertical="center" wrapText="1" readingOrder="2"/>
      <protection hidden="1"/>
    </xf>
    <xf numFmtId="0" fontId="27" fillId="7" borderId="16" xfId="0" applyFont="1" applyFill="1" applyBorder="1" applyAlignment="1" applyProtection="1">
      <alignment horizontal="center" vertical="center" wrapText="1" readingOrder="1"/>
      <protection hidden="1"/>
    </xf>
    <xf numFmtId="0" fontId="27" fillId="7" borderId="15" xfId="0" applyFont="1" applyFill="1" applyBorder="1" applyAlignment="1" applyProtection="1">
      <alignment horizontal="center" vertical="center" wrapText="1" readingOrder="1"/>
      <protection hidden="1"/>
    </xf>
    <xf numFmtId="0" fontId="27" fillId="11" borderId="15" xfId="0" applyFont="1" applyFill="1" applyBorder="1" applyAlignment="1" applyProtection="1">
      <alignment horizontal="center" vertical="center" wrapText="1" readingOrder="1"/>
      <protection hidden="1"/>
    </xf>
    <xf numFmtId="0" fontId="27" fillId="11" borderId="18" xfId="0" applyFont="1" applyFill="1" applyBorder="1" applyAlignment="1" applyProtection="1">
      <alignment horizontal="center" vertical="center" wrapText="1" readingOrder="1"/>
      <protection hidden="1"/>
    </xf>
    <xf numFmtId="0" fontId="27" fillId="10" borderId="56" xfId="0" applyFont="1" applyFill="1" applyBorder="1" applyAlignment="1" applyProtection="1">
      <alignment horizontal="center" vertical="center" wrapText="1" readingOrder="1"/>
      <protection hidden="1"/>
    </xf>
    <xf numFmtId="0" fontId="27" fillId="10" borderId="59" xfId="0" applyFont="1" applyFill="1" applyBorder="1" applyAlignment="1" applyProtection="1">
      <alignment horizontal="center" vertical="center" wrapText="1" readingOrder="1"/>
      <protection hidden="1"/>
    </xf>
    <xf numFmtId="0" fontId="27" fillId="11" borderId="16" xfId="0" applyFont="1" applyFill="1" applyBorder="1" applyAlignment="1" applyProtection="1">
      <alignment horizontal="center" vertical="center" wrapText="1" readingOrder="1"/>
      <protection hidden="1"/>
    </xf>
    <xf numFmtId="0" fontId="27" fillId="11" borderId="19" xfId="0" applyFont="1" applyFill="1" applyBorder="1" applyAlignment="1" applyProtection="1">
      <alignment horizontal="center" vertical="center" wrapText="1" readingOrder="1"/>
      <protection hidden="1"/>
    </xf>
    <xf numFmtId="0" fontId="30" fillId="0" borderId="54" xfId="0" applyFont="1" applyBorder="1" applyAlignment="1" applyProtection="1">
      <alignment horizontal="center" vertical="center" wrapText="1" readingOrder="1"/>
      <protection hidden="1"/>
    </xf>
    <xf numFmtId="0" fontId="30" fillId="0" borderId="56" xfId="0" applyFont="1" applyBorder="1" applyAlignment="1" applyProtection="1">
      <alignment horizontal="center" vertical="center" wrapText="1" readingOrder="1"/>
      <protection hidden="1"/>
    </xf>
    <xf numFmtId="0" fontId="27" fillId="9" borderId="67" xfId="0" applyFont="1" applyFill="1" applyBorder="1" applyAlignment="1" applyProtection="1">
      <alignment horizontal="center" vertical="center" wrapText="1" readingOrder="1"/>
      <protection hidden="1"/>
    </xf>
    <xf numFmtId="0" fontId="27" fillId="9" borderId="15" xfId="0" applyFont="1" applyFill="1" applyBorder="1" applyAlignment="1" applyProtection="1">
      <alignment horizontal="center" vertical="center" wrapText="1" readingOrder="1"/>
      <protection hidden="1"/>
    </xf>
    <xf numFmtId="0" fontId="27" fillId="9" borderId="68" xfId="0" applyFont="1" applyFill="1" applyBorder="1" applyAlignment="1" applyProtection="1">
      <alignment horizontal="center" vertical="center" wrapText="1" readingOrder="1"/>
      <protection hidden="1"/>
    </xf>
    <xf numFmtId="0" fontId="27" fillId="9" borderId="16" xfId="0" applyFont="1" applyFill="1" applyBorder="1" applyAlignment="1" applyProtection="1">
      <alignment horizontal="center" vertical="center" wrapText="1" readingOrder="1"/>
      <protection hidden="1"/>
    </xf>
    <xf numFmtId="0" fontId="27" fillId="9" borderId="54" xfId="0" applyFont="1" applyFill="1" applyBorder="1" applyAlignment="1" applyProtection="1">
      <alignment horizontal="center" vertical="center" wrapText="1" readingOrder="1"/>
      <protection hidden="1"/>
    </xf>
    <xf numFmtId="0" fontId="27" fillId="9" borderId="56" xfId="0" applyFont="1" applyFill="1" applyBorder="1" applyAlignment="1" applyProtection="1">
      <alignment horizontal="center" vertical="center" wrapText="1" readingOrder="1"/>
      <protection hidden="1"/>
    </xf>
    <xf numFmtId="0" fontId="27" fillId="9" borderId="12" xfId="0" applyFont="1" applyFill="1" applyBorder="1" applyAlignment="1" applyProtection="1">
      <alignment horizontal="center" vertical="center" wrapText="1" readingOrder="1"/>
      <protection hidden="1"/>
    </xf>
    <xf numFmtId="0" fontId="27" fillId="9" borderId="58" xfId="0" applyFont="1" applyFill="1" applyBorder="1" applyAlignment="1" applyProtection="1">
      <alignment horizontal="center" vertical="center" wrapText="1" readingOrder="1"/>
      <protection hidden="1"/>
    </xf>
    <xf numFmtId="0" fontId="27" fillId="9" borderId="59" xfId="0" applyFont="1" applyFill="1" applyBorder="1" applyAlignment="1" applyProtection="1">
      <alignment horizontal="center" vertical="center" wrapText="1" readingOrder="1"/>
      <protection hidden="1"/>
    </xf>
    <xf numFmtId="0" fontId="27" fillId="9" borderId="13" xfId="0" applyFont="1" applyFill="1" applyBorder="1" applyAlignment="1" applyProtection="1">
      <alignment horizontal="center" vertical="center" wrapText="1" readingOrder="1"/>
      <protection hidden="1"/>
    </xf>
    <xf numFmtId="0" fontId="30" fillId="0" borderId="65" xfId="0" applyFont="1" applyBorder="1" applyAlignment="1" applyProtection="1">
      <alignment horizontal="center" vertical="center" wrapText="1" readingOrder="1"/>
      <protection hidden="1"/>
    </xf>
    <xf numFmtId="0" fontId="30" fillId="0" borderId="0" xfId="0" applyFont="1" applyBorder="1" applyAlignment="1" applyProtection="1">
      <alignment horizontal="center" vertical="center" wrapText="1" readingOrder="1"/>
      <protection hidden="1"/>
    </xf>
    <xf numFmtId="0" fontId="30" fillId="0" borderId="3" xfId="0" applyFont="1" applyBorder="1" applyAlignment="1" applyProtection="1">
      <alignment horizontal="center" vertical="center" wrapText="1" readingOrder="1"/>
      <protection hidden="1"/>
    </xf>
    <xf numFmtId="0" fontId="27" fillId="7" borderId="71" xfId="0" applyFont="1" applyFill="1" applyBorder="1" applyAlignment="1" applyProtection="1">
      <alignment horizontal="center" vertical="center" wrapText="1" readingOrder="1"/>
      <protection hidden="1"/>
    </xf>
    <xf numFmtId="0" fontId="27" fillId="11" borderId="71" xfId="0" applyFont="1" applyFill="1" applyBorder="1" applyAlignment="1" applyProtection="1">
      <alignment horizontal="center" vertical="center" wrapText="1" readingOrder="1"/>
      <protection hidden="1"/>
    </xf>
    <xf numFmtId="0" fontId="27" fillId="11" borderId="47" xfId="0" applyFont="1" applyFill="1" applyBorder="1" applyAlignment="1" applyProtection="1">
      <alignment horizontal="center" vertical="center" wrapText="1" readingOrder="1"/>
      <protection hidden="1"/>
    </xf>
    <xf numFmtId="0" fontId="27" fillId="0" borderId="65" xfId="0" applyFont="1" applyBorder="1" applyAlignment="1" applyProtection="1">
      <alignment horizontal="center" vertical="center" wrapText="1" readingOrder="1"/>
      <protection hidden="1"/>
    </xf>
    <xf numFmtId="0" fontId="27" fillId="0" borderId="0" xfId="0" applyFont="1" applyBorder="1" applyAlignment="1" applyProtection="1">
      <alignment horizontal="center" vertical="center" wrapText="1" readingOrder="1"/>
      <protection hidden="1"/>
    </xf>
    <xf numFmtId="0" fontId="27" fillId="0" borderId="3" xfId="0" applyFont="1" applyBorder="1" applyAlignment="1" applyProtection="1">
      <alignment horizontal="center" vertical="center" wrapText="1" readingOrder="1"/>
      <protection hidden="1"/>
    </xf>
    <xf numFmtId="0" fontId="30" fillId="0" borderId="12" xfId="0" applyFont="1" applyBorder="1" applyAlignment="1" applyProtection="1">
      <alignment horizontal="center" vertical="center" wrapText="1" readingOrder="1"/>
      <protection hidden="1"/>
    </xf>
    <xf numFmtId="0" fontId="27" fillId="0" borderId="54" xfId="0" applyFont="1" applyBorder="1" applyAlignment="1" applyProtection="1">
      <alignment horizontal="center" vertical="center" wrapText="1" readingOrder="2"/>
      <protection hidden="1"/>
    </xf>
    <xf numFmtId="0" fontId="27" fillId="0" borderId="56" xfId="0" applyFont="1" applyBorder="1" applyAlignment="1" applyProtection="1">
      <alignment horizontal="center" vertical="center" wrapText="1" readingOrder="2"/>
      <protection hidden="1"/>
    </xf>
    <xf numFmtId="0" fontId="27" fillId="0" borderId="12" xfId="0" applyFont="1" applyBorder="1" applyAlignment="1" applyProtection="1">
      <alignment horizontal="center" vertical="center" wrapText="1" readingOrder="2"/>
      <protection hidden="1"/>
    </xf>
    <xf numFmtId="0" fontId="27" fillId="9" borderId="38" xfId="0" applyFont="1" applyFill="1" applyBorder="1" applyAlignment="1" applyProtection="1">
      <alignment horizontal="center" vertical="center" wrapText="1" readingOrder="1"/>
      <protection hidden="1"/>
    </xf>
    <xf numFmtId="0" fontId="27" fillId="10" borderId="80" xfId="0" applyFont="1" applyFill="1" applyBorder="1" applyAlignment="1" applyProtection="1">
      <alignment horizontal="center" vertical="center" wrapText="1" readingOrder="1"/>
      <protection hidden="1"/>
    </xf>
    <xf numFmtId="0" fontId="27" fillId="0" borderId="54" xfId="0" applyFont="1" applyBorder="1" applyAlignment="1" applyProtection="1">
      <alignment horizontal="center" vertical="center" wrapText="1" readingOrder="1"/>
      <protection hidden="1"/>
    </xf>
    <xf numFmtId="0" fontId="27" fillId="0" borderId="56" xfId="0" applyFont="1" applyBorder="1" applyAlignment="1" applyProtection="1">
      <alignment horizontal="center" vertical="center" wrapText="1" readingOrder="1"/>
      <protection hidden="1"/>
    </xf>
    <xf numFmtId="0" fontId="27" fillId="0" borderId="23" xfId="0" applyFont="1" applyBorder="1" applyAlignment="1" applyProtection="1">
      <alignment horizontal="center" vertical="center" wrapText="1" readingOrder="1"/>
      <protection hidden="1"/>
    </xf>
    <xf numFmtId="0" fontId="61" fillId="0" borderId="56" xfId="0" applyFont="1" applyBorder="1" applyAlignment="1" applyProtection="1">
      <alignment horizontal="center" vertical="center" wrapText="1" readingOrder="1"/>
      <protection hidden="1"/>
    </xf>
    <xf numFmtId="0" fontId="61" fillId="8" borderId="54" xfId="0" applyFont="1" applyFill="1" applyBorder="1" applyAlignment="1" applyProtection="1">
      <alignment horizontal="center" vertical="center" wrapText="1" readingOrder="1"/>
      <protection hidden="1"/>
    </xf>
    <xf numFmtId="0" fontId="61" fillId="8" borderId="56" xfId="0" applyFont="1" applyFill="1" applyBorder="1" applyAlignment="1" applyProtection="1">
      <alignment horizontal="center" vertical="center" wrapText="1" readingOrder="1"/>
      <protection hidden="1"/>
    </xf>
    <xf numFmtId="0" fontId="61" fillId="8" borderId="12" xfId="0" applyFont="1" applyFill="1" applyBorder="1" applyAlignment="1" applyProtection="1">
      <alignment horizontal="center" vertical="center" wrapText="1" readingOrder="1"/>
      <protection hidden="1"/>
    </xf>
    <xf numFmtId="0" fontId="27" fillId="7" borderId="67" xfId="0" applyFont="1" applyFill="1" applyBorder="1" applyAlignment="1" applyProtection="1">
      <alignment horizontal="center" vertical="center" wrapText="1" readingOrder="1"/>
      <protection hidden="1"/>
    </xf>
    <xf numFmtId="0" fontId="27" fillId="7" borderId="12" xfId="0" applyFont="1" applyFill="1" applyBorder="1" applyAlignment="1" applyProtection="1">
      <alignment horizontal="center" vertical="center" wrapText="1" readingOrder="1"/>
      <protection hidden="1"/>
    </xf>
    <xf numFmtId="0" fontId="27" fillId="7" borderId="68" xfId="0" applyFont="1" applyFill="1" applyBorder="1" applyAlignment="1" applyProtection="1">
      <alignment horizontal="center" vertical="center" wrapText="1" readingOrder="1"/>
      <protection hidden="1"/>
    </xf>
    <xf numFmtId="0" fontId="27" fillId="7" borderId="13" xfId="0" applyFont="1" applyFill="1" applyBorder="1" applyAlignment="1" applyProtection="1">
      <alignment horizontal="center" vertical="center" wrapText="1" readingOrder="1"/>
      <protection hidden="1"/>
    </xf>
    <xf numFmtId="0" fontId="27" fillId="9" borderId="37" xfId="0" applyFont="1" applyFill="1" applyBorder="1" applyAlignment="1" applyProtection="1">
      <alignment horizontal="center" vertical="center" wrapText="1" readingOrder="1"/>
      <protection hidden="1"/>
    </xf>
    <xf numFmtId="0" fontId="27" fillId="9" borderId="73" xfId="0" applyFont="1" applyFill="1" applyBorder="1" applyAlignment="1" applyProtection="1">
      <alignment horizontal="center" vertical="center" wrapText="1" readingOrder="1"/>
      <protection hidden="1"/>
    </xf>
    <xf numFmtId="0" fontId="27" fillId="9" borderId="80" xfId="0" applyFont="1" applyFill="1" applyBorder="1" applyAlignment="1" applyProtection="1">
      <alignment horizontal="center" vertical="center" wrapText="1" readingOrder="1"/>
      <protection hidden="1"/>
    </xf>
    <xf numFmtId="0" fontId="27" fillId="9" borderId="64" xfId="0" applyFont="1" applyFill="1" applyBorder="1" applyAlignment="1" applyProtection="1">
      <alignment horizontal="center" vertical="center" wrapText="1" readingOrder="1"/>
      <protection hidden="1"/>
    </xf>
    <xf numFmtId="0" fontId="27" fillId="0" borderId="15" xfId="0" applyFont="1" applyBorder="1" applyAlignment="1" applyProtection="1">
      <alignment horizontal="center" vertical="center" wrapText="1" readingOrder="2"/>
      <protection hidden="1"/>
    </xf>
    <xf numFmtId="0" fontId="27" fillId="7" borderId="46" xfId="0" applyFont="1" applyFill="1" applyBorder="1" applyAlignment="1" applyProtection="1">
      <alignment horizontal="center" vertical="center" wrapText="1" readingOrder="1"/>
      <protection hidden="1"/>
    </xf>
    <xf numFmtId="0" fontId="27" fillId="7" borderId="64" xfId="0" applyFont="1" applyFill="1" applyBorder="1" applyAlignment="1" applyProtection="1">
      <alignment horizontal="center" vertical="center" wrapText="1" readingOrder="1"/>
      <protection hidden="1"/>
    </xf>
    <xf numFmtId="0" fontId="30" fillId="0" borderId="15" xfId="0" applyFont="1" applyBorder="1" applyAlignment="1" applyProtection="1">
      <alignment horizontal="center" vertical="center" wrapText="1" readingOrder="1"/>
      <protection hidden="1"/>
    </xf>
    <xf numFmtId="0" fontId="27" fillId="9" borderId="46" xfId="0" applyFont="1" applyFill="1" applyBorder="1" applyAlignment="1" applyProtection="1">
      <alignment horizontal="center" vertical="center" wrapText="1" readingOrder="1"/>
      <protection hidden="1"/>
    </xf>
    <xf numFmtId="0" fontId="27" fillId="9" borderId="71" xfId="0" applyFont="1" applyFill="1" applyBorder="1" applyAlignment="1" applyProtection="1">
      <alignment horizontal="center" vertical="center" wrapText="1" readingOrder="1"/>
      <protection hidden="1"/>
    </xf>
    <xf numFmtId="0" fontId="27" fillId="10" borderId="15" xfId="0" applyFont="1" applyFill="1" applyBorder="1" applyAlignment="1" applyProtection="1">
      <alignment horizontal="center" vertical="center" wrapText="1" readingOrder="1"/>
      <protection hidden="1"/>
    </xf>
    <xf numFmtId="0" fontId="27" fillId="9" borderId="50" xfId="0" applyFont="1" applyFill="1" applyBorder="1" applyAlignment="1" applyProtection="1">
      <alignment horizontal="center" vertical="center" wrapText="1" readingOrder="1"/>
      <protection hidden="1"/>
    </xf>
    <xf numFmtId="0" fontId="30" fillId="0" borderId="67" xfId="0" applyFont="1" applyBorder="1" applyAlignment="1" applyProtection="1">
      <alignment horizontal="center" vertical="center" wrapText="1" readingOrder="1"/>
      <protection hidden="1"/>
    </xf>
    <xf numFmtId="0" fontId="60" fillId="0" borderId="0" xfId="0" applyFont="1" applyAlignment="1" applyProtection="1">
      <alignment horizontal="center" vertical="top" wrapText="1"/>
      <protection hidden="1"/>
    </xf>
    <xf numFmtId="0" fontId="30" fillId="6" borderId="52" xfId="0" applyFont="1" applyFill="1" applyBorder="1" applyAlignment="1" applyProtection="1">
      <alignment horizontal="center" vertical="center" wrapText="1" readingOrder="1"/>
      <protection hidden="1"/>
    </xf>
    <xf numFmtId="0" fontId="30" fillId="6" borderId="34" xfId="0" applyFont="1" applyFill="1" applyBorder="1" applyAlignment="1" applyProtection="1">
      <alignment horizontal="center" vertical="center" wrapText="1" readingOrder="1"/>
      <protection hidden="1"/>
    </xf>
    <xf numFmtId="0" fontId="27" fillId="6" borderId="24" xfId="0" applyFont="1" applyFill="1" applyBorder="1" applyAlignment="1" applyProtection="1">
      <alignment horizontal="center" vertical="center" wrapText="1" readingOrder="1"/>
      <protection hidden="1"/>
    </xf>
    <xf numFmtId="0" fontId="27" fillId="6" borderId="36" xfId="0" applyFont="1" applyFill="1" applyBorder="1" applyAlignment="1" applyProtection="1">
      <alignment horizontal="center" vertical="center" wrapText="1" readingOrder="1"/>
      <protection hidden="1"/>
    </xf>
    <xf numFmtId="0" fontId="71" fillId="0" borderId="0" xfId="0" applyFont="1" applyAlignment="1" applyProtection="1">
      <alignment horizontal="center" vertical="center" wrapText="1"/>
      <protection hidden="1"/>
    </xf>
    <xf numFmtId="0" fontId="30" fillId="6" borderId="54" xfId="0" applyFont="1" applyFill="1" applyBorder="1" applyAlignment="1" applyProtection="1">
      <alignment horizontal="center" vertical="center" wrapText="1" readingOrder="2"/>
      <protection hidden="1"/>
    </xf>
    <xf numFmtId="0" fontId="30" fillId="6" borderId="23" xfId="0" applyFont="1" applyFill="1" applyBorder="1" applyAlignment="1" applyProtection="1">
      <alignment horizontal="center" vertical="center" wrapText="1" readingOrder="2"/>
      <protection hidden="1"/>
    </xf>
    <xf numFmtId="0" fontId="29" fillId="0" borderId="0" xfId="0" applyFont="1" applyAlignment="1" applyProtection="1">
      <alignment horizontal="center" vertical="center"/>
      <protection hidden="1"/>
    </xf>
    <xf numFmtId="0" fontId="27" fillId="0" borderId="0" xfId="0" applyFont="1" applyAlignment="1" applyProtection="1">
      <alignment horizontal="center" vertical="center"/>
      <protection hidden="1"/>
    </xf>
    <xf numFmtId="0" fontId="42" fillId="3" borderId="82" xfId="0" applyFont="1" applyFill="1" applyBorder="1" applyAlignment="1">
      <alignment horizontal="center" vertical="center"/>
    </xf>
    <xf numFmtId="0" fontId="27" fillId="13" borderId="82" xfId="0" applyFont="1" applyFill="1" applyBorder="1" applyAlignment="1" applyProtection="1">
      <alignment horizontal="left" vertical="center"/>
      <protection hidden="1"/>
    </xf>
    <xf numFmtId="0" fontId="27" fillId="13" borderId="82" xfId="0" applyFont="1" applyFill="1" applyBorder="1" applyAlignment="1" applyProtection="1">
      <alignment horizontal="center" vertical="center"/>
      <protection hidden="1"/>
    </xf>
    <xf numFmtId="0" fontId="39" fillId="2" borderId="82" xfId="0" applyFont="1" applyFill="1" applyBorder="1" applyAlignment="1">
      <alignment horizontal="center" vertical="center" wrapText="1"/>
    </xf>
    <xf numFmtId="0" fontId="24" fillId="0" borderId="0" xfId="0" applyFont="1" applyFill="1" applyBorder="1" applyAlignment="1" applyProtection="1">
      <alignment horizontal="center" vertical="center"/>
    </xf>
    <xf numFmtId="0" fontId="42" fillId="0" borderId="0" xfId="0" applyFont="1" applyBorder="1" applyAlignment="1">
      <alignment horizontal="left" vertical="center" wrapText="1"/>
    </xf>
    <xf numFmtId="0" fontId="39" fillId="0" borderId="82" xfId="0" applyFont="1" applyBorder="1" applyAlignment="1">
      <alignment horizontal="center" vertical="center"/>
    </xf>
    <xf numFmtId="0" fontId="42" fillId="0" borderId="82" xfId="0" applyFont="1" applyBorder="1" applyAlignment="1">
      <alignment horizontal="center" vertical="center"/>
    </xf>
    <xf numFmtId="0" fontId="42" fillId="2" borderId="82" xfId="0" applyFont="1" applyFill="1" applyBorder="1" applyAlignment="1">
      <alignment horizontal="center" vertical="center" wrapText="1"/>
    </xf>
    <xf numFmtId="0" fontId="80" fillId="0" borderId="0" xfId="1" applyFont="1" applyFill="1" applyBorder="1" applyAlignment="1" applyProtection="1">
      <alignment horizontal="center" vertical="center"/>
    </xf>
    <xf numFmtId="0" fontId="42" fillId="0" borderId="82" xfId="0" applyFont="1" applyFill="1" applyBorder="1" applyAlignment="1">
      <alignment horizontal="center" vertical="center"/>
    </xf>
    <xf numFmtId="2" fontId="37" fillId="0" borderId="82" xfId="0" applyNumberFormat="1" applyFont="1" applyBorder="1" applyAlignment="1" applyProtection="1">
      <alignment horizontal="center" vertical="center"/>
      <protection hidden="1"/>
    </xf>
    <xf numFmtId="2" fontId="37" fillId="14" borderId="82" xfId="0" applyNumberFormat="1" applyFont="1" applyFill="1" applyBorder="1" applyAlignment="1" applyProtection="1">
      <alignment horizontal="center" vertical="center"/>
      <protection hidden="1"/>
    </xf>
    <xf numFmtId="2" fontId="37" fillId="0" borderId="82" xfId="0"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0" fontId="39" fillId="13" borderId="85" xfId="0" applyFont="1" applyFill="1" applyBorder="1" applyAlignment="1" applyProtection="1">
      <alignment horizontal="center" vertical="distributed"/>
      <protection hidden="1"/>
    </xf>
    <xf numFmtId="0" fontId="39" fillId="13" borderId="83" xfId="0" applyFont="1" applyFill="1" applyBorder="1" applyAlignment="1" applyProtection="1">
      <alignment horizontal="center" vertical="distributed"/>
      <protection hidden="1"/>
    </xf>
    <xf numFmtId="0" fontId="39" fillId="13" borderId="82" xfId="0" applyFont="1" applyFill="1" applyBorder="1" applyAlignment="1" applyProtection="1">
      <alignment horizontal="center" vertical="center" wrapText="1"/>
      <protection hidden="1"/>
    </xf>
    <xf numFmtId="0" fontId="39" fillId="13" borderId="82" xfId="0" applyFont="1" applyFill="1" applyBorder="1" applyAlignment="1" applyProtection="1">
      <alignment horizontal="center" vertical="center"/>
      <protection hidden="1"/>
    </xf>
    <xf numFmtId="0" fontId="35" fillId="0" borderId="0" xfId="0" applyFont="1" applyAlignment="1" applyProtection="1">
      <alignment horizontal="center" vertical="top"/>
      <protection hidden="1"/>
    </xf>
    <xf numFmtId="0" fontId="39" fillId="0" borderId="0" xfId="0" applyFont="1" applyBorder="1" applyAlignment="1" applyProtection="1">
      <alignment horizontal="center" vertical="center"/>
      <protection hidden="1"/>
    </xf>
    <xf numFmtId="0" fontId="39" fillId="13" borderId="70" xfId="0" applyFont="1" applyFill="1" applyBorder="1" applyAlignment="1" applyProtection="1">
      <alignment horizontal="center" vertical="center" wrapText="1"/>
      <protection hidden="1"/>
    </xf>
    <xf numFmtId="0" fontId="39" fillId="13" borderId="71" xfId="0" applyFont="1" applyFill="1" applyBorder="1" applyAlignment="1" applyProtection="1">
      <alignment horizontal="center" vertical="center" wrapText="1"/>
      <protection hidden="1"/>
    </xf>
    <xf numFmtId="0" fontId="83" fillId="0" borderId="0" xfId="2" applyFont="1" applyAlignment="1" applyProtection="1">
      <alignment horizontal="left" vertical="center"/>
      <protection hidden="1"/>
    </xf>
    <xf numFmtId="0" fontId="6" fillId="13" borderId="86" xfId="0" applyFont="1" applyFill="1" applyBorder="1" applyAlignment="1" applyProtection="1">
      <alignment horizontal="center" vertical="center"/>
      <protection hidden="1"/>
    </xf>
    <xf numFmtId="0" fontId="27" fillId="0" borderId="86" xfId="0" applyFont="1" applyBorder="1" applyAlignment="1" applyProtection="1">
      <alignment horizontal="center" vertical="center"/>
      <protection hidden="1"/>
    </xf>
    <xf numFmtId="0" fontId="27" fillId="3" borderId="86" xfId="0" applyFont="1" applyFill="1" applyBorder="1" applyAlignment="1" applyProtection="1">
      <alignment horizontal="center" vertical="center"/>
      <protection hidden="1"/>
    </xf>
    <xf numFmtId="168" fontId="27" fillId="3" borderId="86" xfId="0" applyNumberFormat="1" applyFont="1" applyFill="1" applyBorder="1" applyAlignment="1" applyProtection="1">
      <alignment horizontal="center" vertical="center"/>
      <protection hidden="1"/>
    </xf>
    <xf numFmtId="168" fontId="27" fillId="0" borderId="86" xfId="0" applyNumberFormat="1" applyFont="1" applyBorder="1" applyAlignment="1" applyProtection="1">
      <alignment horizontal="center" vertical="center"/>
      <protection hidden="1"/>
    </xf>
    <xf numFmtId="0" fontId="6" fillId="13" borderId="86" xfId="0" applyFont="1" applyFill="1" applyBorder="1" applyAlignment="1" applyProtection="1">
      <alignment horizontal="center" vertical="distributed" wrapText="1"/>
      <protection hidden="1"/>
    </xf>
    <xf numFmtId="0" fontId="6" fillId="13" borderId="86" xfId="0" applyFont="1" applyFill="1" applyBorder="1" applyAlignment="1" applyProtection="1">
      <alignment horizontal="center" vertical="distributed"/>
      <protection hidden="1"/>
    </xf>
    <xf numFmtId="0" fontId="98" fillId="0" borderId="0" xfId="0" applyFont="1" applyBorder="1" applyAlignment="1" applyProtection="1">
      <alignment horizontal="center"/>
      <protection hidden="1"/>
    </xf>
    <xf numFmtId="0" fontId="0" fillId="0" borderId="0" xfId="0" applyProtection="1">
      <protection hidden="1"/>
    </xf>
    <xf numFmtId="0" fontId="35" fillId="0" borderId="0" xfId="0" applyFont="1" applyAlignment="1" applyProtection="1">
      <alignment horizontal="center" vertical="top" wrapText="1"/>
      <protection hidden="1"/>
    </xf>
    <xf numFmtId="0" fontId="35" fillId="0" borderId="0" xfId="0" applyFont="1" applyBorder="1" applyAlignment="1" applyProtection="1">
      <alignment horizontal="center" vertical="top"/>
      <protection hidden="1"/>
    </xf>
    <xf numFmtId="0" fontId="27" fillId="13" borderId="86" xfId="0" applyFont="1" applyFill="1" applyBorder="1" applyAlignment="1" applyProtection="1">
      <alignment horizontal="center" vertical="distributed"/>
      <protection hidden="1"/>
    </xf>
    <xf numFmtId="0" fontId="27" fillId="13" borderId="86" xfId="0" applyFont="1" applyFill="1" applyBorder="1" applyAlignment="1" applyProtection="1">
      <alignment horizontal="center" vertical="center"/>
      <protection hidden="1"/>
    </xf>
    <xf numFmtId="169" fontId="73" fillId="0" borderId="85" xfId="0" applyNumberFormat="1" applyFont="1" applyBorder="1" applyAlignment="1" applyProtection="1">
      <alignment horizontal="center" vertical="distributed"/>
      <protection hidden="1"/>
    </xf>
    <xf numFmtId="169" fontId="73" fillId="0" borderId="84" xfId="0" applyNumberFormat="1" applyFont="1" applyBorder="1" applyAlignment="1" applyProtection="1">
      <alignment horizontal="center" vertical="distributed"/>
      <protection hidden="1"/>
    </xf>
    <xf numFmtId="0" fontId="27" fillId="13" borderId="83" xfId="0" applyFont="1" applyFill="1" applyBorder="1" applyAlignment="1" applyProtection="1">
      <alignment horizontal="center" vertical="center"/>
      <protection hidden="1"/>
    </xf>
    <xf numFmtId="167" fontId="30" fillId="0" borderId="40" xfId="0" applyNumberFormat="1" applyFont="1" applyFill="1" applyBorder="1" applyAlignment="1" applyProtection="1">
      <alignment horizontal="center" vertical="center"/>
      <protection hidden="1"/>
    </xf>
    <xf numFmtId="167" fontId="30" fillId="0" borderId="41" xfId="0" applyNumberFormat="1" applyFont="1" applyFill="1" applyBorder="1" applyAlignment="1" applyProtection="1">
      <alignment horizontal="center" vertical="center"/>
      <protection hidden="1"/>
    </xf>
    <xf numFmtId="167" fontId="30" fillId="2" borderId="42" xfId="0" applyNumberFormat="1" applyFont="1" applyFill="1" applyBorder="1" applyAlignment="1" applyProtection="1">
      <alignment horizontal="center" vertical="center"/>
      <protection hidden="1"/>
    </xf>
    <xf numFmtId="167" fontId="30" fillId="2" borderId="43" xfId="0" applyNumberFormat="1" applyFont="1" applyFill="1" applyBorder="1" applyAlignment="1" applyProtection="1">
      <alignment horizontal="center" vertical="center"/>
      <protection hidden="1"/>
    </xf>
    <xf numFmtId="167" fontId="30" fillId="2" borderId="40" xfId="0" applyNumberFormat="1" applyFont="1" applyFill="1" applyBorder="1" applyAlignment="1" applyProtection="1">
      <alignment horizontal="center" vertical="center"/>
      <protection hidden="1"/>
    </xf>
    <xf numFmtId="167" fontId="30" fillId="2" borderId="41" xfId="0" applyNumberFormat="1" applyFont="1" applyFill="1" applyBorder="1" applyAlignment="1" applyProtection="1">
      <alignment horizontal="center" vertical="center"/>
      <protection hidden="1"/>
    </xf>
    <xf numFmtId="0" fontId="75" fillId="0" borderId="0" xfId="0" applyFont="1" applyBorder="1" applyAlignment="1" applyProtection="1">
      <alignment horizontal="left" vertical="center"/>
      <protection hidden="1"/>
    </xf>
    <xf numFmtId="0" fontId="29" fillId="13" borderId="61" xfId="0" applyFont="1" applyFill="1" applyBorder="1" applyAlignment="1" applyProtection="1">
      <alignment horizontal="center" vertical="center"/>
      <protection hidden="1"/>
    </xf>
    <xf numFmtId="0" fontId="29" fillId="13" borderId="62" xfId="0" applyFont="1" applyFill="1" applyBorder="1" applyAlignment="1" applyProtection="1">
      <alignment horizontal="center" vertical="center"/>
      <protection hidden="1"/>
    </xf>
    <xf numFmtId="0" fontId="29" fillId="13" borderId="63" xfId="0" applyFont="1" applyFill="1" applyBorder="1" applyAlignment="1" applyProtection="1">
      <alignment horizontal="center" vertical="center"/>
      <protection hidden="1"/>
    </xf>
    <xf numFmtId="0" fontId="30" fillId="0" borderId="9" xfId="0" applyFont="1" applyBorder="1" applyAlignment="1" applyProtection="1">
      <alignment horizontal="center" vertical="center"/>
      <protection hidden="1"/>
    </xf>
    <xf numFmtId="0" fontId="30" fillId="0" borderId="6" xfId="0" applyFont="1" applyBorder="1" applyAlignment="1" applyProtection="1">
      <alignment horizontal="center" vertical="center"/>
      <protection hidden="1"/>
    </xf>
    <xf numFmtId="167" fontId="30" fillId="2" borderId="44" xfId="0" applyNumberFormat="1" applyFont="1" applyFill="1" applyBorder="1" applyAlignment="1" applyProtection="1">
      <alignment horizontal="center" vertical="center"/>
      <protection hidden="1"/>
    </xf>
    <xf numFmtId="167" fontId="30" fillId="2" borderId="8" xfId="0" applyNumberFormat="1" applyFont="1" applyFill="1" applyBorder="1" applyAlignment="1" applyProtection="1">
      <alignment horizontal="center" vertical="center"/>
      <protection hidden="1"/>
    </xf>
    <xf numFmtId="0" fontId="6" fillId="2" borderId="42" xfId="0" applyFont="1" applyFill="1" applyBorder="1" applyAlignment="1">
      <alignment horizontal="left"/>
    </xf>
    <xf numFmtId="0" fontId="6" fillId="2" borderId="45" xfId="0" applyFont="1" applyFill="1" applyBorder="1" applyAlignment="1">
      <alignment horizontal="left"/>
    </xf>
    <xf numFmtId="0" fontId="6" fillId="2" borderId="43" xfId="0" applyFont="1" applyFill="1" applyBorder="1" applyAlignment="1">
      <alignment horizontal="left"/>
    </xf>
    <xf numFmtId="0" fontId="6" fillId="2" borderId="40" xfId="0" applyFont="1" applyFill="1" applyBorder="1" applyAlignment="1">
      <alignment horizontal="left"/>
    </xf>
    <xf numFmtId="0" fontId="6" fillId="2" borderId="25" xfId="0" applyFont="1" applyFill="1" applyBorder="1" applyAlignment="1">
      <alignment horizontal="left"/>
    </xf>
    <xf numFmtId="0" fontId="6" fillId="2" borderId="41" xfId="0" applyFont="1" applyFill="1" applyBorder="1" applyAlignment="1">
      <alignment horizontal="left"/>
    </xf>
    <xf numFmtId="0" fontId="6" fillId="0" borderId="40" xfId="0" applyFont="1" applyFill="1" applyBorder="1" applyAlignment="1">
      <alignment horizontal="left"/>
    </xf>
    <xf numFmtId="0" fontId="6" fillId="0" borderId="25" xfId="0" applyFont="1" applyFill="1" applyBorder="1" applyAlignment="1">
      <alignment horizontal="left"/>
    </xf>
    <xf numFmtId="0" fontId="6" fillId="0" borderId="41" xfId="0" applyFont="1" applyFill="1" applyBorder="1" applyAlignment="1">
      <alignment horizontal="left"/>
    </xf>
    <xf numFmtId="0" fontId="1" fillId="2" borderId="29" xfId="0" applyFont="1" applyFill="1" applyBorder="1" applyAlignment="1">
      <alignment horizontal="center"/>
    </xf>
    <xf numFmtId="0" fontId="1" fillId="2" borderId="5" xfId="0" applyFont="1" applyFill="1" applyBorder="1" applyAlignment="1">
      <alignment horizontal="center"/>
    </xf>
    <xf numFmtId="0" fontId="14" fillId="0" borderId="1" xfId="1" applyFont="1" applyFill="1" applyBorder="1" applyAlignment="1" applyProtection="1">
      <alignment horizontal="distributed" vertical="distributed"/>
    </xf>
    <xf numFmtId="0" fontId="14" fillId="0" borderId="0" xfId="1" applyFont="1" applyFill="1" applyBorder="1" applyAlignment="1" applyProtection="1">
      <alignment horizontal="distributed" vertical="distributed"/>
    </xf>
    <xf numFmtId="0" fontId="9" fillId="0" borderId="0" xfId="1" applyFont="1" applyAlignment="1" applyProtection="1">
      <alignment horizontal="center" vertical="distributed"/>
    </xf>
    <xf numFmtId="0" fontId="3" fillId="0" borderId="0" xfId="0" applyFont="1" applyFill="1" applyBorder="1" applyAlignment="1">
      <alignment horizontal="center"/>
    </xf>
    <xf numFmtId="0" fontId="6" fillId="2" borderId="44" xfId="0" applyFont="1" applyFill="1" applyBorder="1" applyAlignment="1">
      <alignment horizontal="left"/>
    </xf>
    <xf numFmtId="0" fontId="6" fillId="2" borderId="7" xfId="0" applyFont="1" applyFill="1" applyBorder="1" applyAlignment="1">
      <alignment horizontal="left"/>
    </xf>
    <xf numFmtId="0" fontId="6" fillId="2" borderId="8" xfId="0" applyFont="1" applyFill="1" applyBorder="1" applyAlignment="1">
      <alignment horizontal="left"/>
    </xf>
    <xf numFmtId="0" fontId="1" fillId="0" borderId="29" xfId="0" applyFont="1" applyBorder="1" applyAlignment="1">
      <alignment horizontal="center" vertical="center"/>
    </xf>
    <xf numFmtId="0" fontId="1" fillId="0" borderId="5" xfId="0" applyFont="1" applyBorder="1" applyAlignment="1">
      <alignment horizontal="center" vertical="center"/>
    </xf>
    <xf numFmtId="0" fontId="1" fillId="0" borderId="30" xfId="0" applyFont="1" applyBorder="1" applyAlignment="1">
      <alignment horizontal="center" vertical="center"/>
    </xf>
    <xf numFmtId="0" fontId="0" fillId="0" borderId="0" xfId="0" applyFill="1" applyBorder="1" applyAlignment="1">
      <alignment horizontal="center"/>
    </xf>
    <xf numFmtId="0" fontId="6" fillId="0" borderId="0" xfId="0" applyFont="1" applyFill="1" applyBorder="1" applyAlignment="1">
      <alignment horizontal="center" vertical="distributed"/>
    </xf>
    <xf numFmtId="0" fontId="6" fillId="0" borderId="0" xfId="0" applyFont="1" applyFill="1" applyBorder="1" applyAlignment="1">
      <alignment horizontal="center" vertical="center"/>
    </xf>
    <xf numFmtId="0" fontId="6" fillId="2" borderId="40" xfId="0" applyFont="1" applyFill="1" applyBorder="1" applyAlignment="1">
      <alignment horizontal="center" vertical="center"/>
    </xf>
    <xf numFmtId="0" fontId="6" fillId="2" borderId="41" xfId="0" applyFont="1" applyFill="1" applyBorder="1" applyAlignment="1">
      <alignment horizontal="center" vertical="center"/>
    </xf>
    <xf numFmtId="0" fontId="6" fillId="0" borderId="40" xfId="0" applyFont="1" applyFill="1" applyBorder="1" applyAlignment="1">
      <alignment horizontal="center" vertical="center"/>
    </xf>
    <xf numFmtId="0" fontId="6" fillId="0" borderId="41"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xf>
    <xf numFmtId="0" fontId="18" fillId="0" borderId="3" xfId="0" applyFont="1" applyBorder="1" applyAlignment="1">
      <alignment horizontal="left" vertical="center"/>
    </xf>
    <xf numFmtId="0" fontId="6" fillId="0" borderId="9" xfId="0" applyFont="1" applyBorder="1" applyAlignment="1">
      <alignment horizontal="center" vertical="distributed"/>
    </xf>
    <xf numFmtId="0" fontId="6" fillId="0" borderId="6" xfId="0" applyFont="1" applyBorder="1" applyAlignment="1">
      <alignment horizontal="center" vertical="distributed"/>
    </xf>
    <xf numFmtId="0" fontId="6" fillId="2" borderId="44"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42" xfId="0" applyFont="1" applyFill="1" applyBorder="1" applyAlignment="1">
      <alignment horizontal="center" vertical="center"/>
    </xf>
    <xf numFmtId="0" fontId="6" fillId="2" borderId="43" xfId="0" applyFont="1" applyFill="1" applyBorder="1" applyAlignment="1">
      <alignment horizontal="center" vertical="center"/>
    </xf>
    <xf numFmtId="0" fontId="29" fillId="2" borderId="10" xfId="0" applyFont="1" applyFill="1" applyBorder="1" applyAlignment="1">
      <alignment horizontal="center" vertical="center"/>
    </xf>
    <xf numFmtId="0" fontId="29" fillId="2" borderId="22" xfId="0" applyFont="1" applyFill="1" applyBorder="1" applyAlignment="1">
      <alignment horizontal="center" vertical="center"/>
    </xf>
    <xf numFmtId="0" fontId="29" fillId="2" borderId="2" xfId="0" applyFont="1" applyFill="1" applyBorder="1" applyAlignment="1">
      <alignment horizontal="center" vertical="center"/>
    </xf>
    <xf numFmtId="0" fontId="30" fillId="0" borderId="39" xfId="0" applyFont="1" applyBorder="1" applyAlignment="1">
      <alignment horizontal="center" vertical="center"/>
    </xf>
    <xf numFmtId="0" fontId="30" fillId="0" borderId="20" xfId="0" applyFont="1" applyBorder="1" applyAlignment="1">
      <alignment horizontal="center" vertical="center"/>
    </xf>
    <xf numFmtId="0" fontId="30" fillId="3" borderId="14" xfId="0" applyFont="1" applyFill="1" applyBorder="1" applyAlignment="1">
      <alignment horizontal="center" vertical="center"/>
    </xf>
    <xf numFmtId="0" fontId="30" fillId="3" borderId="15" xfId="0" applyFont="1" applyFill="1" applyBorder="1" applyAlignment="1">
      <alignment horizontal="center" vertical="center"/>
    </xf>
    <xf numFmtId="0" fontId="30" fillId="0" borderId="21" xfId="0" applyFont="1" applyBorder="1" applyAlignment="1">
      <alignment horizontal="center" vertical="center"/>
    </xf>
    <xf numFmtId="0" fontId="30" fillId="3" borderId="16" xfId="0" applyFont="1" applyFill="1" applyBorder="1" applyAlignment="1">
      <alignment horizontal="center" vertical="center"/>
    </xf>
    <xf numFmtId="0" fontId="30" fillId="0" borderId="14" xfId="0" applyFont="1" applyBorder="1" applyAlignment="1">
      <alignment horizontal="center" vertical="center"/>
    </xf>
    <xf numFmtId="0" fontId="30" fillId="0" borderId="15" xfId="0" applyFont="1" applyBorder="1" applyAlignment="1">
      <alignment horizontal="center" vertical="center"/>
    </xf>
    <xf numFmtId="49" fontId="30" fillId="0" borderId="15" xfId="0" applyNumberFormat="1" applyFont="1" applyBorder="1" applyAlignment="1">
      <alignment horizontal="center" vertical="center"/>
    </xf>
    <xf numFmtId="49" fontId="30" fillId="0" borderId="16" xfId="0" applyNumberFormat="1" applyFont="1" applyBorder="1" applyAlignment="1">
      <alignment horizontal="center" vertical="center"/>
    </xf>
    <xf numFmtId="49" fontId="30" fillId="3" borderId="15" xfId="0" applyNumberFormat="1" applyFont="1" applyFill="1" applyBorder="1" applyAlignment="1">
      <alignment horizontal="center" vertical="center"/>
    </xf>
    <xf numFmtId="49" fontId="30" fillId="3" borderId="16" xfId="0" applyNumberFormat="1" applyFont="1" applyFill="1" applyBorder="1" applyAlignment="1">
      <alignment horizontal="center" vertical="center"/>
    </xf>
    <xf numFmtId="0" fontId="25" fillId="3" borderId="14" xfId="0" applyFont="1" applyFill="1" applyBorder="1" applyAlignment="1">
      <alignment horizontal="center" vertical="center" wrapText="1"/>
    </xf>
    <xf numFmtId="0" fontId="25" fillId="3" borderId="15" xfId="0" applyFont="1" applyFill="1" applyBorder="1" applyAlignment="1">
      <alignment horizontal="center" vertical="center"/>
    </xf>
    <xf numFmtId="0" fontId="30" fillId="0" borderId="17" xfId="0" applyFont="1" applyBorder="1" applyAlignment="1">
      <alignment horizontal="center" vertical="center"/>
    </xf>
    <xf numFmtId="0" fontId="30" fillId="0" borderId="18" xfId="0" applyFont="1" applyBorder="1" applyAlignment="1">
      <alignment horizontal="center" vertical="center"/>
    </xf>
    <xf numFmtId="2" fontId="30" fillId="3" borderId="15" xfId="0" applyNumberFormat="1" applyFont="1" applyFill="1" applyBorder="1" applyAlignment="1">
      <alignment horizontal="center" vertical="center"/>
    </xf>
    <xf numFmtId="2" fontId="30" fillId="3" borderId="16" xfId="0" applyNumberFormat="1" applyFont="1" applyFill="1" applyBorder="1" applyAlignment="1">
      <alignment horizontal="center" vertical="center"/>
    </xf>
    <xf numFmtId="2" fontId="30" fillId="0" borderId="15" xfId="0" applyNumberFormat="1" applyFont="1" applyBorder="1" applyAlignment="1">
      <alignment horizontal="center" vertical="center"/>
    </xf>
    <xf numFmtId="2" fontId="30" fillId="0" borderId="16" xfId="0" applyNumberFormat="1" applyFont="1" applyBorder="1" applyAlignment="1">
      <alignment horizontal="center" vertical="center"/>
    </xf>
    <xf numFmtId="0" fontId="29" fillId="2" borderId="10" xfId="0" applyFont="1" applyFill="1" applyBorder="1" applyAlignment="1">
      <alignment horizontal="center" vertical="center" wrapText="1"/>
    </xf>
    <xf numFmtId="0" fontId="45" fillId="0" borderId="42" xfId="0" applyFont="1" applyBorder="1" applyAlignment="1">
      <alignment horizontal="center" vertical="center" wrapText="1"/>
    </xf>
    <xf numFmtId="0" fontId="45" fillId="0" borderId="45" xfId="0" applyFont="1" applyBorder="1" applyAlignment="1">
      <alignment horizontal="center" vertical="center" wrapText="1"/>
    </xf>
    <xf numFmtId="0" fontId="45" fillId="0" borderId="47" xfId="0" applyFont="1" applyBorder="1" applyAlignment="1">
      <alignment horizontal="center" vertical="center" wrapText="1"/>
    </xf>
    <xf numFmtId="0" fontId="30" fillId="3" borderId="27" xfId="0" applyFont="1" applyFill="1" applyBorder="1" applyAlignment="1">
      <alignment horizontal="center" vertical="center"/>
    </xf>
    <xf numFmtId="0" fontId="30" fillId="3" borderId="25" xfId="0" applyFont="1" applyFill="1" applyBorder="1" applyAlignment="1">
      <alignment horizontal="center" vertical="center"/>
    </xf>
    <xf numFmtId="0" fontId="30" fillId="3" borderId="41" xfId="0" applyFont="1" applyFill="1" applyBorder="1" applyAlignment="1">
      <alignment horizontal="center" vertical="center"/>
    </xf>
    <xf numFmtId="49" fontId="30" fillId="3" borderId="27" xfId="0" applyNumberFormat="1" applyFont="1" applyFill="1" applyBorder="1" applyAlignment="1">
      <alignment horizontal="center" vertical="center"/>
    </xf>
    <xf numFmtId="49" fontId="30" fillId="3" borderId="25" xfId="0" applyNumberFormat="1" applyFont="1" applyFill="1" applyBorder="1" applyAlignment="1">
      <alignment horizontal="center" vertical="center"/>
    </xf>
    <xf numFmtId="49" fontId="30" fillId="3" borderId="41" xfId="0" applyNumberFormat="1" applyFont="1" applyFill="1" applyBorder="1" applyAlignment="1">
      <alignment horizontal="center" vertical="center"/>
    </xf>
    <xf numFmtId="49" fontId="30" fillId="0" borderId="27" xfId="0" applyNumberFormat="1" applyFont="1" applyBorder="1" applyAlignment="1">
      <alignment horizontal="center" vertical="center"/>
    </xf>
    <xf numFmtId="49" fontId="30" fillId="0" borderId="25" xfId="0" applyNumberFormat="1" applyFont="1" applyBorder="1" applyAlignment="1">
      <alignment horizontal="center" vertical="center"/>
    </xf>
    <xf numFmtId="49" fontId="30" fillId="0" borderId="41" xfId="0" applyNumberFormat="1" applyFont="1" applyBorder="1" applyAlignment="1">
      <alignment horizontal="center" vertical="center"/>
    </xf>
    <xf numFmtId="2" fontId="30" fillId="0" borderId="27" xfId="0" applyNumberFormat="1" applyFont="1" applyBorder="1" applyAlignment="1">
      <alignment horizontal="center" vertical="center"/>
    </xf>
    <xf numFmtId="2" fontId="30" fillId="0" borderId="25" xfId="0" applyNumberFormat="1" applyFont="1" applyBorder="1" applyAlignment="1">
      <alignment horizontal="center" vertical="center"/>
    </xf>
    <xf numFmtId="2" fontId="30" fillId="0" borderId="41" xfId="0" applyNumberFormat="1" applyFont="1" applyBorder="1" applyAlignment="1">
      <alignment horizontal="center" vertical="center"/>
    </xf>
    <xf numFmtId="0" fontId="30" fillId="0" borderId="40" xfId="0" applyFont="1" applyBorder="1" applyAlignment="1">
      <alignment horizontal="center" vertical="center"/>
    </xf>
    <xf numFmtId="0" fontId="30" fillId="0" borderId="25" xfId="0" applyFont="1" applyBorder="1" applyAlignment="1">
      <alignment horizontal="center" vertical="center"/>
    </xf>
    <xf numFmtId="0" fontId="30" fillId="0" borderId="32" xfId="0" applyFont="1" applyBorder="1" applyAlignment="1">
      <alignment horizontal="center" vertical="center"/>
    </xf>
    <xf numFmtId="0" fontId="30" fillId="3" borderId="40" xfId="0" applyFont="1" applyFill="1" applyBorder="1" applyAlignment="1">
      <alignment horizontal="center" vertical="center"/>
    </xf>
    <xf numFmtId="0" fontId="30" fillId="3" borderId="32" xfId="0" applyFont="1" applyFill="1" applyBorder="1" applyAlignment="1">
      <alignment horizontal="center" vertical="center"/>
    </xf>
    <xf numFmtId="0" fontId="45" fillId="3" borderId="40" xfId="0" applyFont="1" applyFill="1" applyBorder="1" applyAlignment="1">
      <alignment horizontal="center" vertical="center" wrapText="1"/>
    </xf>
    <xf numFmtId="0" fontId="45" fillId="3" borderId="25" xfId="0" applyFont="1" applyFill="1" applyBorder="1" applyAlignment="1">
      <alignment horizontal="center" vertical="center" wrapText="1"/>
    </xf>
    <xf numFmtId="0" fontId="45" fillId="3" borderId="32" xfId="0" applyFont="1" applyFill="1" applyBorder="1" applyAlignment="1">
      <alignment horizontal="center" vertical="center" wrapText="1"/>
    </xf>
    <xf numFmtId="0" fontId="27" fillId="0" borderId="40" xfId="0" applyFont="1" applyBorder="1" applyAlignment="1">
      <alignment horizontal="left" vertical="distributed"/>
    </xf>
    <xf numFmtId="0" fontId="27" fillId="0" borderId="25" xfId="0" applyFont="1" applyBorder="1" applyAlignment="1">
      <alignment horizontal="left" vertical="distributed"/>
    </xf>
    <xf numFmtId="0" fontId="27" fillId="0" borderId="41" xfId="0" applyFont="1" applyBorder="1" applyAlignment="1">
      <alignment horizontal="left" vertical="distributed"/>
    </xf>
    <xf numFmtId="0" fontId="29" fillId="2" borderId="29"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30" fillId="0" borderId="44" xfId="0" applyFont="1" applyBorder="1" applyAlignment="1">
      <alignment horizontal="center" vertical="center"/>
    </xf>
    <xf numFmtId="0" fontId="30" fillId="0" borderId="7" xfId="0" applyFont="1" applyBorder="1" applyAlignment="1">
      <alignment horizontal="center" vertical="center"/>
    </xf>
    <xf numFmtId="0" fontId="30" fillId="0" borderId="46" xfId="0" applyFont="1" applyBorder="1" applyAlignment="1">
      <alignment horizontal="center" vertical="center"/>
    </xf>
    <xf numFmtId="0" fontId="30" fillId="0" borderId="19" xfId="0" applyFont="1" applyBorder="1" applyAlignment="1">
      <alignment horizontal="center" vertical="center"/>
    </xf>
    <xf numFmtId="0" fontId="30" fillId="0" borderId="0" xfId="0" applyFont="1" applyFill="1" applyBorder="1" applyAlignment="1">
      <alignment horizontal="center" vertical="center"/>
    </xf>
    <xf numFmtId="0" fontId="25" fillId="0" borderId="14" xfId="0" applyFont="1" applyFill="1" applyBorder="1" applyAlignment="1">
      <alignment horizontal="center" vertical="center" wrapText="1"/>
    </xf>
    <xf numFmtId="0" fontId="25" fillId="0" borderId="15" xfId="0" applyFont="1" applyFill="1" applyBorder="1" applyAlignment="1">
      <alignment horizontal="center" vertical="center"/>
    </xf>
    <xf numFmtId="0" fontId="27" fillId="0" borderId="44" xfId="0" applyFont="1" applyBorder="1" applyAlignment="1">
      <alignment horizontal="left" vertical="distributed" wrapText="1"/>
    </xf>
    <xf numFmtId="0" fontId="27" fillId="0" borderId="7" xfId="0" applyFont="1" applyBorder="1" applyAlignment="1">
      <alignment horizontal="left" vertical="distributed" wrapText="1"/>
    </xf>
    <xf numFmtId="0" fontId="27" fillId="0" borderId="8" xfId="0" applyFont="1" applyBorder="1" applyAlignment="1">
      <alignment horizontal="left" vertical="distributed" wrapText="1"/>
    </xf>
    <xf numFmtId="0" fontId="27" fillId="0" borderId="40" xfId="0" applyFont="1" applyBorder="1" applyAlignment="1">
      <alignment horizontal="left" vertical="distributed" wrapText="1"/>
    </xf>
    <xf numFmtId="0" fontId="27" fillId="0" borderId="25" xfId="0" applyFont="1" applyBorder="1" applyAlignment="1">
      <alignment horizontal="left" vertical="distributed" wrapText="1"/>
    </xf>
    <xf numFmtId="0" fontId="27" fillId="0" borderId="41" xfId="0" applyFont="1" applyBorder="1" applyAlignment="1">
      <alignment horizontal="left" vertical="distributed" wrapText="1"/>
    </xf>
    <xf numFmtId="0" fontId="27" fillId="0" borderId="42" xfId="0" applyFont="1" applyBorder="1" applyAlignment="1">
      <alignment horizontal="left" vertical="distributed"/>
    </xf>
    <xf numFmtId="0" fontId="27" fillId="0" borderId="45" xfId="0" applyFont="1" applyBorder="1" applyAlignment="1">
      <alignment horizontal="left" vertical="distributed"/>
    </xf>
    <xf numFmtId="0" fontId="27" fillId="0" borderId="43" xfId="0" applyFont="1" applyBorder="1" applyAlignment="1">
      <alignment horizontal="left" vertical="distributed"/>
    </xf>
    <xf numFmtId="0" fontId="30" fillId="0" borderId="4" xfId="0" applyFont="1" applyFill="1" applyBorder="1" applyAlignment="1">
      <alignment horizontal="center" vertical="center"/>
    </xf>
    <xf numFmtId="2" fontId="30" fillId="0" borderId="15" xfId="0" applyNumberFormat="1" applyFont="1" applyFill="1" applyBorder="1" applyAlignment="1">
      <alignment horizontal="center" vertical="center"/>
    </xf>
    <xf numFmtId="2" fontId="30" fillId="0" borderId="16" xfId="0" applyNumberFormat="1" applyFont="1" applyFill="1" applyBorder="1" applyAlignment="1">
      <alignment horizontal="center" vertical="center"/>
    </xf>
    <xf numFmtId="0" fontId="30" fillId="3" borderId="17" xfId="0" applyFont="1" applyFill="1" applyBorder="1" applyAlignment="1">
      <alignment horizontal="center" vertical="center"/>
    </xf>
    <xf numFmtId="0" fontId="30" fillId="3" borderId="18" xfId="0" applyFont="1" applyFill="1" applyBorder="1" applyAlignment="1">
      <alignment horizontal="center" vertical="center"/>
    </xf>
    <xf numFmtId="0" fontId="30" fillId="3" borderId="19" xfId="0" applyFont="1" applyFill="1" applyBorder="1" applyAlignment="1">
      <alignment horizontal="center" vertical="center"/>
    </xf>
    <xf numFmtId="0" fontId="29" fillId="0" borderId="0" xfId="0" applyFont="1" applyAlignment="1">
      <alignment horizontal="center" vertical="center"/>
    </xf>
    <xf numFmtId="2" fontId="30" fillId="3" borderId="18" xfId="0" applyNumberFormat="1" applyFont="1" applyFill="1" applyBorder="1" applyAlignment="1">
      <alignment horizontal="center" vertical="center"/>
    </xf>
    <xf numFmtId="2" fontId="30" fillId="3" borderId="19" xfId="0" applyNumberFormat="1" applyFont="1" applyFill="1" applyBorder="1" applyAlignment="1">
      <alignment horizontal="center" vertical="center"/>
    </xf>
    <xf numFmtId="0" fontId="30" fillId="3" borderId="14" xfId="0" applyFont="1" applyFill="1" applyBorder="1" applyAlignment="1">
      <alignment horizontal="center" vertical="center" wrapText="1"/>
    </xf>
    <xf numFmtId="0" fontId="30" fillId="0" borderId="16" xfId="0" applyFont="1" applyBorder="1" applyAlignment="1">
      <alignment horizontal="center" vertical="center"/>
    </xf>
    <xf numFmtId="0" fontId="19" fillId="2" borderId="20" xfId="0" applyFont="1" applyFill="1" applyBorder="1" applyAlignment="1" applyProtection="1">
      <alignment horizontal="center" vertical="center"/>
      <protection hidden="1"/>
    </xf>
    <xf numFmtId="0" fontId="19" fillId="2" borderId="48" xfId="0" applyFont="1" applyFill="1" applyBorder="1" applyAlignment="1" applyProtection="1">
      <alignment horizontal="center" vertical="center"/>
      <protection hidden="1"/>
    </xf>
    <xf numFmtId="0" fontId="19" fillId="2" borderId="49" xfId="0" applyFont="1" applyFill="1" applyBorder="1" applyAlignment="1" applyProtection="1">
      <alignment horizontal="center" vertical="center"/>
      <protection hidden="1"/>
    </xf>
    <xf numFmtId="0" fontId="20" fillId="0" borderId="0" xfId="0" applyFont="1" applyAlignment="1" applyProtection="1">
      <alignment horizontal="center" vertical="center"/>
      <protection hidden="1"/>
    </xf>
    <xf numFmtId="0" fontId="21" fillId="0" borderId="0" xfId="0" applyFont="1" applyAlignment="1" applyProtection="1">
      <alignment horizontal="left"/>
      <protection hidden="1"/>
    </xf>
    <xf numFmtId="0" fontId="19" fillId="0" borderId="14" xfId="0" applyFont="1" applyBorder="1" applyAlignment="1" applyProtection="1">
      <alignment horizontal="center" vertical="center"/>
      <protection hidden="1"/>
    </xf>
    <xf numFmtId="0" fontId="19" fillId="0" borderId="15" xfId="0" applyFont="1" applyBorder="1" applyAlignment="1" applyProtection="1">
      <alignment horizontal="center" vertical="center"/>
      <protection hidden="1"/>
    </xf>
    <xf numFmtId="0" fontId="19" fillId="0" borderId="0" xfId="0" applyFont="1" applyAlignment="1" applyProtection="1">
      <alignment horizontal="center" vertical="distributed"/>
      <protection hidden="1"/>
    </xf>
    <xf numFmtId="0" fontId="19" fillId="0" borderId="0" xfId="0" applyFont="1" applyAlignment="1" applyProtection="1">
      <alignment horizontal="left" vertical="distributed"/>
      <protection hidden="1"/>
    </xf>
    <xf numFmtId="0" fontId="19" fillId="2" borderId="33" xfId="0" applyFont="1" applyFill="1" applyBorder="1" applyAlignment="1" applyProtection="1">
      <alignment horizontal="center" vertical="center"/>
      <protection hidden="1"/>
    </xf>
    <xf numFmtId="0" fontId="19" fillId="2" borderId="50" xfId="0" applyFont="1" applyFill="1" applyBorder="1" applyAlignment="1" applyProtection="1">
      <alignment horizontal="center" vertical="center"/>
      <protection hidden="1"/>
    </xf>
    <xf numFmtId="0" fontId="19" fillId="2" borderId="35" xfId="0" applyFont="1" applyFill="1" applyBorder="1" applyAlignment="1" applyProtection="1">
      <alignment horizontal="center" vertical="center"/>
      <protection hidden="1"/>
    </xf>
    <xf numFmtId="0" fontId="19" fillId="2" borderId="51" xfId="0" applyFont="1" applyFill="1" applyBorder="1" applyAlignment="1" applyProtection="1">
      <alignment horizontal="center" vertical="center"/>
      <protection hidden="1"/>
    </xf>
    <xf numFmtId="0" fontId="19" fillId="4" borderId="10" xfId="0" applyFont="1" applyFill="1" applyBorder="1" applyAlignment="1" applyProtection="1">
      <alignment horizontal="center" vertical="distributed"/>
      <protection hidden="1"/>
    </xf>
    <xf numFmtId="0" fontId="19" fillId="4" borderId="22" xfId="0" applyFont="1" applyFill="1" applyBorder="1" applyAlignment="1" applyProtection="1">
      <alignment horizontal="center" vertical="distributed"/>
      <protection hidden="1"/>
    </xf>
    <xf numFmtId="0" fontId="19" fillId="4" borderId="2" xfId="0" applyFont="1" applyFill="1" applyBorder="1" applyAlignment="1" applyProtection="1">
      <alignment horizontal="center" vertical="distributed"/>
      <protection hidden="1"/>
    </xf>
    <xf numFmtId="0" fontId="19" fillId="2" borderId="52" xfId="0" applyFont="1" applyFill="1" applyBorder="1" applyAlignment="1" applyProtection="1">
      <alignment horizontal="center" vertical="center"/>
      <protection hidden="1"/>
    </xf>
    <xf numFmtId="0" fontId="19" fillId="2" borderId="4" xfId="0" applyFont="1" applyFill="1" applyBorder="1" applyAlignment="1" applyProtection="1">
      <alignment horizontal="center" vertical="center"/>
      <protection hidden="1"/>
    </xf>
    <xf numFmtId="0" fontId="19" fillId="2" borderId="34" xfId="0" applyFont="1" applyFill="1" applyBorder="1" applyAlignment="1" applyProtection="1">
      <alignment horizontal="center" vertical="center"/>
      <protection hidden="1"/>
    </xf>
    <xf numFmtId="0" fontId="19" fillId="2" borderId="24" xfId="0" applyFont="1" applyFill="1" applyBorder="1" applyAlignment="1" applyProtection="1">
      <alignment horizontal="center" vertical="center"/>
      <protection hidden="1"/>
    </xf>
    <xf numFmtId="0" fontId="19" fillId="2" borderId="3" xfId="0" applyFont="1" applyFill="1" applyBorder="1" applyAlignment="1" applyProtection="1">
      <alignment horizontal="center" vertical="center"/>
      <protection hidden="1"/>
    </xf>
    <xf numFmtId="0" fontId="19" fillId="2" borderId="36" xfId="0" applyFont="1" applyFill="1" applyBorder="1" applyAlignment="1" applyProtection="1">
      <alignment horizontal="center" vertical="center"/>
      <protection hidden="1"/>
    </xf>
    <xf numFmtId="0" fontId="9" fillId="0" borderId="0" xfId="1" applyFont="1" applyAlignment="1" applyProtection="1">
      <alignment horizontal="center" vertical="center"/>
      <protection hidden="1"/>
    </xf>
    <xf numFmtId="0" fontId="19" fillId="3" borderId="53" xfId="0" applyFont="1" applyFill="1" applyBorder="1" applyAlignment="1" applyProtection="1">
      <alignment horizontal="center" vertical="center"/>
      <protection hidden="1"/>
    </xf>
    <xf numFmtId="0" fontId="19" fillId="3" borderId="37" xfId="0" applyFont="1" applyFill="1" applyBorder="1" applyAlignment="1" applyProtection="1">
      <alignment horizontal="center" vertical="center"/>
      <protection hidden="1"/>
    </xf>
    <xf numFmtId="0" fontId="19" fillId="0" borderId="50" xfId="0" applyFont="1" applyFill="1" applyBorder="1" applyAlignment="1" applyProtection="1">
      <alignment horizontal="center" vertical="center"/>
      <protection hidden="1"/>
    </xf>
    <xf numFmtId="0" fontId="19" fillId="0" borderId="52" xfId="0" applyFont="1" applyFill="1" applyBorder="1" applyAlignment="1" applyProtection="1">
      <alignment horizontal="center" vertical="center"/>
      <protection hidden="1"/>
    </xf>
    <xf numFmtId="0" fontId="19" fillId="3" borderId="26" xfId="0" applyFont="1" applyFill="1" applyBorder="1" applyAlignment="1" applyProtection="1">
      <alignment horizontal="center" vertical="center"/>
      <protection hidden="1"/>
    </xf>
    <xf numFmtId="0" fontId="19" fillId="3" borderId="7" xfId="0" applyFont="1" applyFill="1" applyBorder="1" applyAlignment="1" applyProtection="1">
      <alignment horizontal="center" vertical="center"/>
      <protection hidden="1"/>
    </xf>
    <xf numFmtId="0" fontId="19" fillId="3" borderId="8" xfId="0" applyFont="1" applyFill="1" applyBorder="1" applyAlignment="1" applyProtection="1">
      <alignment horizontal="center" vertical="center"/>
      <protection hidden="1"/>
    </xf>
    <xf numFmtId="0" fontId="19" fillId="0" borderId="27" xfId="0" applyFont="1" applyBorder="1" applyAlignment="1" applyProtection="1">
      <alignment horizontal="center" vertical="center"/>
      <protection hidden="1"/>
    </xf>
    <xf numFmtId="0" fontId="19" fillId="0" borderId="25" xfId="0" applyFont="1" applyBorder="1" applyAlignment="1" applyProtection="1">
      <alignment horizontal="center" vertical="center"/>
      <protection hidden="1"/>
    </xf>
    <xf numFmtId="0" fontId="19" fillId="0" borderId="41" xfId="0" applyFont="1" applyBorder="1" applyAlignment="1" applyProtection="1">
      <alignment horizontal="center" vertical="center"/>
      <protection hidden="1"/>
    </xf>
    <xf numFmtId="0" fontId="19" fillId="3" borderId="27" xfId="0" applyFont="1" applyFill="1" applyBorder="1" applyAlignment="1" applyProtection="1">
      <alignment horizontal="center" vertical="center"/>
      <protection hidden="1"/>
    </xf>
    <xf numFmtId="0" fontId="19" fillId="3" borderId="25" xfId="0" applyFont="1" applyFill="1" applyBorder="1" applyAlignment="1" applyProtection="1">
      <alignment horizontal="center" vertical="center"/>
      <protection hidden="1"/>
    </xf>
    <xf numFmtId="0" fontId="19" fillId="3" borderId="41" xfId="0" applyFont="1" applyFill="1" applyBorder="1" applyAlignment="1" applyProtection="1">
      <alignment horizontal="center" vertical="center"/>
      <protection hidden="1"/>
    </xf>
    <xf numFmtId="0" fontId="19" fillId="3" borderId="11" xfId="0" applyFont="1" applyFill="1" applyBorder="1" applyAlignment="1" applyProtection="1">
      <alignment horizontal="center" vertical="center"/>
      <protection hidden="1"/>
    </xf>
    <xf numFmtId="0" fontId="19" fillId="3" borderId="12" xfId="0" applyFont="1" applyFill="1" applyBorder="1" applyAlignment="1" applyProtection="1">
      <alignment horizontal="center" vertical="center"/>
      <protection hidden="1"/>
    </xf>
    <xf numFmtId="0" fontId="19" fillId="3" borderId="14" xfId="0" applyFont="1" applyFill="1" applyBorder="1" applyAlignment="1" applyProtection="1">
      <alignment horizontal="center" vertical="center"/>
      <protection hidden="1"/>
    </xf>
    <xf numFmtId="0" fontId="19" fillId="3" borderId="15" xfId="0" applyFont="1" applyFill="1" applyBorder="1" applyAlignment="1" applyProtection="1">
      <alignment horizontal="center" vertical="center"/>
      <protection hidden="1"/>
    </xf>
    <xf numFmtId="0" fontId="19" fillId="3" borderId="28" xfId="0" applyFont="1" applyFill="1" applyBorder="1" applyAlignment="1" applyProtection="1">
      <alignment horizontal="center" vertical="center"/>
      <protection hidden="1"/>
    </xf>
    <xf numFmtId="0" fontId="19" fillId="3" borderId="45" xfId="0" applyFont="1" applyFill="1" applyBorder="1" applyAlignment="1" applyProtection="1">
      <alignment horizontal="center" vertical="center"/>
      <protection hidden="1"/>
    </xf>
    <xf numFmtId="0" fontId="19" fillId="3" borderId="43" xfId="0" applyFont="1" applyFill="1" applyBorder="1" applyAlignment="1" applyProtection="1">
      <alignment horizontal="center" vertical="center"/>
      <protection hidden="1"/>
    </xf>
    <xf numFmtId="0" fontId="6" fillId="0" borderId="0" xfId="0" applyFont="1" applyAlignment="1" applyProtection="1">
      <alignment horizontal="left" vertical="center"/>
      <protection hidden="1"/>
    </xf>
    <xf numFmtId="0" fontId="6" fillId="2" borderId="29" xfId="0" applyFont="1" applyFill="1" applyBorder="1" applyAlignment="1" applyProtection="1">
      <alignment horizontal="center" vertical="center"/>
      <protection hidden="1"/>
    </xf>
    <xf numFmtId="0" fontId="6" fillId="2" borderId="30" xfId="0" applyFont="1" applyFill="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6" fillId="2" borderId="48" xfId="0" applyFont="1" applyFill="1" applyBorder="1" applyAlignment="1" applyProtection="1">
      <alignment horizontal="center" vertical="distributed"/>
      <protection hidden="1"/>
    </xf>
    <xf numFmtId="0" fontId="6" fillId="2" borderId="54" xfId="0" applyFont="1" applyFill="1" applyBorder="1" applyAlignment="1" applyProtection="1">
      <alignment horizontal="center" vertical="distributed"/>
      <protection hidden="1"/>
    </xf>
    <xf numFmtId="0" fontId="6" fillId="2" borderId="55" xfId="0" applyFont="1" applyFill="1" applyBorder="1" applyAlignment="1" applyProtection="1">
      <alignment horizontal="center" vertical="distributed"/>
      <protection hidden="1"/>
    </xf>
    <xf numFmtId="0" fontId="6" fillId="2" borderId="56" xfId="0" applyFont="1" applyFill="1" applyBorder="1" applyAlignment="1" applyProtection="1">
      <alignment horizontal="center" vertical="distributed"/>
      <protection hidden="1"/>
    </xf>
    <xf numFmtId="0" fontId="6" fillId="2" borderId="49" xfId="0" applyFont="1" applyFill="1" applyBorder="1" applyAlignment="1" applyProtection="1">
      <alignment horizontal="center" vertical="distributed"/>
      <protection hidden="1"/>
    </xf>
    <xf numFmtId="0" fontId="6" fillId="2" borderId="23" xfId="0" applyFont="1" applyFill="1" applyBorder="1" applyAlignment="1" applyProtection="1">
      <alignment horizontal="center" vertical="distributed"/>
      <protection hidden="1"/>
    </xf>
    <xf numFmtId="165" fontId="10" fillId="0" borderId="52" xfId="0" applyNumberFormat="1" applyFont="1" applyBorder="1" applyAlignment="1" applyProtection="1">
      <alignment horizontal="center" vertical="distributed"/>
      <protection locked="0"/>
    </xf>
    <xf numFmtId="165" fontId="10" fillId="0" borderId="57" xfId="0" applyNumberFormat="1" applyFont="1" applyBorder="1" applyAlignment="1" applyProtection="1">
      <alignment horizontal="center" vertical="distributed"/>
      <protection locked="0"/>
    </xf>
    <xf numFmtId="165" fontId="10" fillId="0" borderId="24" xfId="0" applyNumberFormat="1" applyFont="1" applyBorder="1" applyAlignment="1" applyProtection="1">
      <alignment horizontal="center" vertical="distributed"/>
      <protection locked="0"/>
    </xf>
    <xf numFmtId="0" fontId="12" fillId="0" borderId="48" xfId="0" applyFont="1" applyBorder="1" applyAlignment="1" applyProtection="1">
      <alignment horizontal="center" vertical="distributed"/>
      <protection hidden="1"/>
    </xf>
    <xf numFmtId="0" fontId="12" fillId="0" borderId="55" xfId="0" applyFont="1" applyBorder="1" applyAlignment="1" applyProtection="1">
      <alignment horizontal="center" vertical="distributed"/>
      <protection hidden="1"/>
    </xf>
    <xf numFmtId="0" fontId="12" fillId="0" borderId="49" xfId="0" applyFont="1" applyBorder="1" applyAlignment="1" applyProtection="1">
      <alignment horizontal="center" vertical="distributed"/>
      <protection hidden="1"/>
    </xf>
    <xf numFmtId="165" fontId="7" fillId="0" borderId="58" xfId="0" applyNumberFormat="1" applyFont="1" applyBorder="1" applyAlignment="1" applyProtection="1">
      <alignment horizontal="center" vertical="distributed"/>
      <protection hidden="1"/>
    </xf>
    <xf numFmtId="165" fontId="7" fillId="0" borderId="59" xfId="0" applyNumberFormat="1" applyFont="1" applyBorder="1" applyAlignment="1" applyProtection="1">
      <alignment horizontal="center" vertical="distributed"/>
      <protection hidden="1"/>
    </xf>
    <xf numFmtId="165" fontId="7" fillId="0" borderId="60" xfId="0" applyNumberFormat="1" applyFont="1" applyBorder="1" applyAlignment="1" applyProtection="1">
      <alignment horizontal="center" vertical="distributed"/>
      <protection hidden="1"/>
    </xf>
    <xf numFmtId="165" fontId="7" fillId="0" borderId="52" xfId="0" applyNumberFormat="1" applyFont="1" applyBorder="1" applyAlignment="1" applyProtection="1">
      <alignment horizontal="center" vertical="distributed"/>
      <protection hidden="1"/>
    </xf>
    <xf numFmtId="165" fontId="7" fillId="0" borderId="57" xfId="0" applyNumberFormat="1" applyFont="1" applyBorder="1" applyAlignment="1" applyProtection="1">
      <alignment horizontal="center" vertical="distributed"/>
      <protection hidden="1"/>
    </xf>
    <xf numFmtId="165" fontId="7" fillId="0" borderId="24" xfId="0" applyNumberFormat="1" applyFont="1" applyBorder="1" applyAlignment="1" applyProtection="1">
      <alignment horizontal="center" vertical="distributed"/>
      <protection hidden="1"/>
    </xf>
    <xf numFmtId="0" fontId="16" fillId="0" borderId="0" xfId="1" applyFont="1" applyAlignment="1" applyProtection="1">
      <alignment horizontal="center" vertical="center"/>
      <protection hidden="1"/>
    </xf>
    <xf numFmtId="0" fontId="17" fillId="0" borderId="0" xfId="0" applyFont="1" applyAlignment="1" applyProtection="1">
      <alignment horizontal="center"/>
      <protection hidden="1"/>
    </xf>
    <xf numFmtId="0" fontId="1" fillId="0" borderId="0" xfId="0" applyFont="1" applyAlignment="1" applyProtection="1">
      <alignment horizontal="left" vertical="center"/>
      <protection hidden="1"/>
    </xf>
    <xf numFmtId="0" fontId="15" fillId="0" borderId="0" xfId="0" applyFont="1" applyAlignment="1" applyProtection="1">
      <alignment horizontal="center" vertical="center"/>
      <protection hidden="1"/>
    </xf>
    <xf numFmtId="0" fontId="6" fillId="2" borderId="33" xfId="0" applyFont="1" applyFill="1" applyBorder="1" applyAlignment="1" applyProtection="1">
      <alignment horizontal="center" vertical="center"/>
      <protection hidden="1"/>
    </xf>
    <xf numFmtId="0" fontId="6" fillId="2" borderId="4" xfId="0" applyFont="1" applyFill="1" applyBorder="1" applyAlignment="1" applyProtection="1">
      <alignment horizontal="center" vertical="center"/>
      <protection hidden="1"/>
    </xf>
    <xf numFmtId="0" fontId="6" fillId="2" borderId="50" xfId="0" applyFont="1" applyFill="1" applyBorder="1" applyAlignment="1" applyProtection="1">
      <alignment horizontal="center" vertical="center"/>
      <protection hidden="1"/>
    </xf>
    <xf numFmtId="0" fontId="6" fillId="2" borderId="35" xfId="0" applyFont="1" applyFill="1" applyBorder="1" applyAlignment="1" applyProtection="1">
      <alignment horizontal="center" vertical="center"/>
      <protection hidden="1"/>
    </xf>
    <xf numFmtId="0" fontId="6" fillId="2" borderId="3" xfId="0" applyFont="1" applyFill="1" applyBorder="1" applyAlignment="1" applyProtection="1">
      <alignment horizontal="center" vertical="center"/>
      <protection hidden="1"/>
    </xf>
    <xf numFmtId="0" fontId="6" fillId="2" borderId="51" xfId="0" applyFont="1" applyFill="1" applyBorder="1" applyAlignment="1" applyProtection="1">
      <alignment horizontal="center" vertical="center"/>
      <protection hidden="1"/>
    </xf>
    <xf numFmtId="0" fontId="7" fillId="0" borderId="58" xfId="0" applyFont="1" applyFill="1" applyBorder="1" applyAlignment="1" applyProtection="1">
      <alignment horizontal="center" vertical="center"/>
      <protection hidden="1"/>
    </xf>
    <xf numFmtId="0" fontId="7" fillId="0" borderId="60" xfId="0" applyFont="1" applyFill="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6" fillId="0" borderId="0" xfId="0" applyFont="1" applyFill="1" applyBorder="1" applyAlignment="1" applyProtection="1">
      <alignment horizontal="center" vertical="center"/>
      <protection hidden="1"/>
    </xf>
    <xf numFmtId="0" fontId="115" fillId="0" borderId="83" xfId="2" applyFont="1" applyFill="1" applyBorder="1" applyAlignment="1" applyProtection="1">
      <alignment horizontal="left" vertical="center"/>
      <protection hidden="1"/>
    </xf>
    <xf numFmtId="0" fontId="36" fillId="0" borderId="83" xfId="0" applyFont="1" applyFill="1" applyBorder="1" applyAlignment="1" applyProtection="1">
      <alignment horizontal="center" vertical="distributed" wrapText="1"/>
      <protection hidden="1"/>
    </xf>
    <xf numFmtId="0" fontId="36" fillId="0" borderId="83" xfId="0" applyFont="1" applyFill="1" applyBorder="1" applyAlignment="1" applyProtection="1">
      <alignment horizontal="center" vertical="center"/>
      <protection hidden="1"/>
    </xf>
  </cellXfs>
  <cellStyles count="3">
    <cellStyle name="Hyperlink" xfId="1" builtinId="8"/>
    <cellStyle name="Normal" xfId="0" builtinId="0"/>
    <cellStyle name="Normal 2" xfId="2" xr:uid="{00000000-0005-0000-0000-000002000000}"/>
  </cellStyles>
  <dxfs count="41">
    <dxf>
      <fill>
        <patternFill>
          <bgColor indexed="12"/>
        </patternFill>
      </fill>
    </dxf>
    <dxf>
      <fill>
        <patternFill>
          <bgColor indexed="12"/>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ill>
        <patternFill>
          <bgColor indexed="10"/>
        </patternFill>
      </fill>
    </dxf>
    <dxf>
      <font>
        <b/>
        <i val="0"/>
        <color theme="0"/>
      </font>
      <fill>
        <patternFill>
          <bgColor rgb="FFFF0000"/>
        </patternFill>
      </fill>
      <border>
        <left style="dotted">
          <color auto="1"/>
        </left>
        <right style="dotted">
          <color auto="1"/>
        </right>
        <top style="dotted">
          <color auto="1"/>
        </top>
        <bottom style="dotted">
          <color auto="1"/>
        </bottom>
        <vertical/>
        <horizontal/>
      </border>
    </dxf>
    <dxf>
      <fill>
        <patternFill>
          <bgColor theme="9" tint="0.79998168889431442"/>
        </patternFill>
      </fill>
    </dxf>
    <dxf>
      <font>
        <color rgb="FFFF0000"/>
      </font>
      <fill>
        <patternFill>
          <bgColor theme="8" tint="0.79998168889431442"/>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border>
        <left style="dotted">
          <color auto="1"/>
        </left>
        <right style="dotted">
          <color auto="1"/>
        </right>
        <top style="dotted">
          <color auto="1"/>
        </top>
        <bottom style="dotted">
          <color auto="1"/>
        </bottom>
        <vertical/>
        <horizontal/>
      </border>
    </dxf>
    <dxf>
      <font>
        <color theme="0"/>
      </font>
      <fill>
        <patternFill>
          <bgColor theme="0"/>
        </patternFill>
      </fill>
      <border>
        <left/>
        <right/>
        <top/>
        <bottom/>
        <vertical/>
        <horizontal/>
      </border>
    </dxf>
    <dxf>
      <border>
        <left style="dotted">
          <color auto="1"/>
        </left>
        <right style="dotted">
          <color auto="1"/>
        </right>
        <top style="dotted">
          <color auto="1"/>
        </top>
        <bottom style="dotted">
          <color auto="1"/>
        </bottom>
        <vertical/>
        <horizontal/>
      </border>
    </dxf>
    <dxf>
      <fill>
        <patternFill>
          <bgColor rgb="FFFF0000"/>
        </patternFill>
      </fill>
      <border>
        <left style="dotted">
          <color auto="1"/>
        </left>
        <right style="dotted">
          <color auto="1"/>
        </right>
        <top style="dotted">
          <color auto="1"/>
        </top>
        <bottom style="dotted">
          <color auto="1"/>
        </bottom>
        <vertical/>
        <horizontal/>
      </border>
    </dxf>
    <dxf>
      <fill>
        <patternFill patternType="none">
          <bgColor auto="1"/>
        </patternFill>
      </fill>
      <border>
        <left style="dotted">
          <color auto="1"/>
        </left>
        <right style="dotted">
          <color auto="1"/>
        </right>
        <top style="dotted">
          <color auto="1"/>
        </top>
        <bottom style="dotted">
          <color auto="1"/>
        </bottom>
        <vertical/>
        <horizontal/>
      </border>
    </dxf>
    <dxf>
      <fill>
        <patternFill>
          <bgColor theme="0" tint="-4.9989318521683403E-2"/>
        </patternFill>
      </fill>
      <border>
        <left style="dotted">
          <color auto="1"/>
        </left>
        <right style="dotted">
          <color auto="1"/>
        </right>
        <top style="dotted">
          <color auto="1"/>
        </top>
        <bottom style="dotted">
          <color auto="1"/>
        </bottom>
        <vertical/>
        <horizontal/>
      </border>
    </dxf>
    <dxf>
      <fill>
        <patternFill>
          <bgColor theme="0" tint="-4.9989318521683403E-2"/>
        </patternFill>
      </fill>
      <border>
        <left style="dotted">
          <color auto="1"/>
        </left>
        <right style="dotted">
          <color auto="1"/>
        </right>
        <top style="dotted">
          <color auto="1"/>
        </top>
        <bottom style="dotted">
          <color auto="1"/>
        </bottom>
        <vertical/>
        <horizontal/>
      </border>
    </dxf>
    <dxf>
      <fill>
        <patternFill>
          <bgColor theme="0" tint="-4.9989318521683403E-2"/>
        </patternFill>
      </fill>
      <border>
        <left style="dotted">
          <color auto="1"/>
        </left>
        <right style="dotted">
          <color auto="1"/>
        </right>
        <top style="dotted">
          <color auto="1"/>
        </top>
        <bottom style="dotted">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000080"/>
      </font>
      <fill>
        <patternFill>
          <bgColor theme="7" tint="0.79998168889431442"/>
        </patternFill>
      </fill>
    </dxf>
    <dxf>
      <font>
        <color theme="0"/>
      </font>
      <fill>
        <patternFill>
          <bgColor theme="0"/>
        </patternFill>
      </fill>
    </dxf>
    <dxf>
      <font>
        <color theme="0"/>
      </font>
      <fill>
        <patternFill>
          <bgColor theme="0"/>
        </patternFill>
      </fill>
    </dxf>
    <dxf>
      <font>
        <color rgb="FF000080"/>
      </font>
      <fill>
        <patternFill>
          <bgColor theme="7" tint="0.79998168889431442"/>
        </patternFill>
      </fill>
    </dxf>
    <dxf>
      <fill>
        <patternFill>
          <bgColor rgb="FFFF0000"/>
        </patternFill>
      </fill>
      <border>
        <left style="dotted">
          <color auto="1"/>
        </left>
        <right style="dotted">
          <color auto="1"/>
        </right>
        <top style="dotted">
          <color auto="1"/>
        </top>
        <bottom style="dotted">
          <color auto="1"/>
        </bottom>
      </border>
    </dxf>
    <dxf>
      <fill>
        <patternFill>
          <bgColor rgb="FFFF0000"/>
        </patternFill>
      </fill>
      <border>
        <left style="dotted">
          <color auto="1"/>
        </left>
        <right style="dotted">
          <color auto="1"/>
        </right>
        <top style="dotted">
          <color auto="1"/>
        </top>
        <bottom style="dotted">
          <color auto="1"/>
        </bottom>
        <vertical/>
        <horizontal/>
      </border>
    </dxf>
    <dxf>
      <font>
        <b/>
        <i val="0"/>
        <color theme="0"/>
      </font>
      <fill>
        <patternFill>
          <bgColor rgb="FFFF0000"/>
        </patternFill>
      </fill>
      <border>
        <left style="dotted">
          <color auto="1"/>
        </left>
        <right style="dotted">
          <color auto="1"/>
        </right>
        <top style="dotted">
          <color auto="1"/>
        </top>
        <bottom style="dotted">
          <color auto="1"/>
        </bottom>
      </border>
    </dxf>
    <dxf>
      <font>
        <b/>
        <i val="0"/>
        <color theme="0"/>
      </font>
      <fill>
        <patternFill>
          <bgColor rgb="FFFF0000"/>
        </patternFill>
      </fill>
      <border>
        <left style="dotted">
          <color auto="1"/>
        </left>
        <right style="dotted">
          <color auto="1"/>
        </right>
        <top style="dotted">
          <color auto="1"/>
        </top>
        <bottom style="dotted">
          <color auto="1"/>
        </bottom>
      </border>
    </dxf>
    <dxf>
      <fill>
        <patternFill>
          <bgColor rgb="FFFF0000"/>
        </patternFill>
      </fill>
    </dxf>
    <dxf>
      <fill>
        <patternFill>
          <bgColor rgb="FFFF0000"/>
        </patternFill>
      </fill>
    </dxf>
    <dxf>
      <fill>
        <patternFill>
          <bgColor rgb="FFFF0000"/>
        </patternFill>
      </fill>
      <border>
        <left style="dotted">
          <color auto="1"/>
        </left>
        <right style="dotted">
          <color auto="1"/>
        </right>
        <top style="dotted">
          <color auto="1"/>
        </top>
        <bottom style="dotted">
          <color auto="1"/>
        </bottom>
        <vertical/>
        <horizontal/>
      </border>
    </dxf>
    <dxf>
      <fill>
        <patternFill>
          <bgColor indexed="10"/>
        </patternFill>
      </fill>
    </dxf>
  </dxfs>
  <tableStyles count="0" defaultTableStyle="TableStyleMedium9" defaultPivotStyle="PivotStyleLight16"/>
  <colors>
    <mruColors>
      <color rgb="FF008000"/>
      <color rgb="FF000080"/>
      <color rgb="FF632B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attachedToolbars" Target="attachedToolbars.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emf"/></Relationships>
</file>

<file path=xl/drawings/_rels/drawing6.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11</xdr:col>
      <xdr:colOff>18638</xdr:colOff>
      <xdr:row>0</xdr:row>
      <xdr:rowOff>68746</xdr:rowOff>
    </xdr:from>
    <xdr:to>
      <xdr:col>12</xdr:col>
      <xdr:colOff>630724</xdr:colOff>
      <xdr:row>5</xdr:row>
      <xdr:rowOff>10265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33782841" y="68746"/>
          <a:ext cx="1324390" cy="860889"/>
        </a:xfrm>
        <a:prstGeom prst="rect">
          <a:avLst/>
        </a:prstGeom>
      </xdr:spPr>
    </xdr:pic>
    <xdr:clientData/>
  </xdr:twoCellAnchor>
  <xdr:twoCellAnchor>
    <xdr:from>
      <xdr:col>1</xdr:col>
      <xdr:colOff>74543</xdr:colOff>
      <xdr:row>43</xdr:row>
      <xdr:rowOff>132522</xdr:rowOff>
    </xdr:from>
    <xdr:to>
      <xdr:col>5</xdr:col>
      <xdr:colOff>488674</xdr:colOff>
      <xdr:row>45</xdr:row>
      <xdr:rowOff>74543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9984692651" y="9533697"/>
          <a:ext cx="3271631" cy="3420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fa-IR" sz="1100" b="1">
              <a:cs typeface="B Nazanin" panose="00000400000000000000" pitchFamily="2" charset="-78"/>
            </a:rPr>
            <a:t>آشنایی با سیستم اطفاء حریق اتوماتیک پایۀ گاز </a:t>
          </a:r>
          <a:r>
            <a:rPr lang="en-US" sz="1100" b="1">
              <a:latin typeface="+mj-lt"/>
              <a:cs typeface="B Nazanin" panose="00000400000000000000" pitchFamily="2" charset="-78"/>
            </a:rPr>
            <a:t>FM200</a:t>
          </a:r>
        </a:p>
      </xdr:txBody>
    </xdr:sp>
    <xdr:clientData/>
  </xdr:twoCellAnchor>
  <mc:AlternateContent xmlns:mc="http://schemas.openxmlformats.org/markup-compatibility/2006">
    <mc:Choice xmlns:a14="http://schemas.microsoft.com/office/drawing/2010/main" Requires="a14">
      <xdr:twoCellAnchor editAs="oneCell">
        <xdr:from>
          <xdr:col>5</xdr:col>
          <xdr:colOff>514350</xdr:colOff>
          <xdr:row>42</xdr:row>
          <xdr:rowOff>161925</xdr:rowOff>
        </xdr:from>
        <xdr:to>
          <xdr:col>6</xdr:col>
          <xdr:colOff>504825</xdr:colOff>
          <xdr:row>45</xdr:row>
          <xdr:rowOff>152400</xdr:rowOff>
        </xdr:to>
        <xdr:sp macro="" textlink="">
          <xdr:nvSpPr>
            <xdr:cNvPr id="74758" name="Object 6" hidden="1">
              <a:extLst>
                <a:ext uri="{63B3BB69-23CF-44E3-9099-C40C66FF867C}">
                  <a14:compatExt spid="_x0000_s74758"/>
                </a:ext>
                <a:ext uri="{FF2B5EF4-FFF2-40B4-BE49-F238E27FC236}">
                  <a16:creationId xmlns:a16="http://schemas.microsoft.com/office/drawing/2014/main" id="{00000000-0008-0000-0000-0000062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266700</xdr:colOff>
      <xdr:row>3</xdr:row>
      <xdr:rowOff>109134</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295399" cy="8520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927652</xdr:colOff>
      <xdr:row>0</xdr:row>
      <xdr:rowOff>610188</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927651" cy="6101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60960</xdr:colOff>
      <xdr:row>0</xdr:row>
      <xdr:rowOff>45720</xdr:rowOff>
    </xdr:from>
    <xdr:to>
      <xdr:col>2</xdr:col>
      <xdr:colOff>617220</xdr:colOff>
      <xdr:row>0</xdr:row>
      <xdr:rowOff>533400</xdr:rowOff>
    </xdr:to>
    <xdr:pic>
      <xdr:nvPicPr>
        <xdr:cNvPr id="20482" name="Picture 2" descr="mohr">
          <a:extLst>
            <a:ext uri="{FF2B5EF4-FFF2-40B4-BE49-F238E27FC236}">
              <a16:creationId xmlns:a16="http://schemas.microsoft.com/office/drawing/2014/main" id="{00000000-0008-0000-0B00-000002500000}"/>
            </a:ext>
          </a:extLst>
        </xdr:cNvPr>
        <xdr:cNvPicPr>
          <a:picLocks noChangeAspect="1" noChangeArrowheads="1"/>
        </xdr:cNvPicPr>
      </xdr:nvPicPr>
      <xdr:blipFill>
        <a:blip xmlns:r="http://schemas.openxmlformats.org/officeDocument/2006/relationships" r:embed="rId1" cstate="print">
          <a:clrChange>
            <a:clrFrom>
              <a:srgbClr val="F6C5B4"/>
            </a:clrFrom>
            <a:clrTo>
              <a:srgbClr val="F6C5B4">
                <a:alpha val="0"/>
              </a:srgbClr>
            </a:clrTo>
          </a:clrChange>
        </a:blip>
        <a:srcRect/>
        <a:stretch>
          <a:fillRect/>
        </a:stretch>
      </xdr:blipFill>
      <xdr:spPr bwMode="auto">
        <a:xfrm>
          <a:off x="1280160" y="45720"/>
          <a:ext cx="556260" cy="48768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480060</xdr:colOff>
      <xdr:row>16</xdr:row>
      <xdr:rowOff>106680</xdr:rowOff>
    </xdr:from>
    <xdr:to>
      <xdr:col>5</xdr:col>
      <xdr:colOff>800100</xdr:colOff>
      <xdr:row>35</xdr:row>
      <xdr:rowOff>30480</xdr:rowOff>
    </xdr:to>
    <xdr:pic>
      <xdr:nvPicPr>
        <xdr:cNvPr id="24577" name="Picture 1">
          <a:extLst>
            <a:ext uri="{FF2B5EF4-FFF2-40B4-BE49-F238E27FC236}">
              <a16:creationId xmlns:a16="http://schemas.microsoft.com/office/drawing/2014/main" id="{00000000-0008-0000-0D00-0000016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941320" y="4061460"/>
          <a:ext cx="2240280" cy="3108960"/>
        </a:xfrm>
        <a:prstGeom prst="rect">
          <a:avLst/>
        </a:prstGeom>
        <a:noFill/>
      </xdr:spPr>
    </xdr:pic>
    <xdr:clientData/>
  </xdr:twoCellAnchor>
  <xdr:twoCellAnchor editAs="oneCell">
    <xdr:from>
      <xdr:col>0</xdr:col>
      <xdr:colOff>22860</xdr:colOff>
      <xdr:row>0</xdr:row>
      <xdr:rowOff>22860</xdr:rowOff>
    </xdr:from>
    <xdr:to>
      <xdr:col>1</xdr:col>
      <xdr:colOff>274320</xdr:colOff>
      <xdr:row>1</xdr:row>
      <xdr:rowOff>0</xdr:rowOff>
    </xdr:to>
    <xdr:pic>
      <xdr:nvPicPr>
        <xdr:cNvPr id="24578" name="Picture 2" descr="mohr">
          <a:extLst>
            <a:ext uri="{FF2B5EF4-FFF2-40B4-BE49-F238E27FC236}">
              <a16:creationId xmlns:a16="http://schemas.microsoft.com/office/drawing/2014/main" id="{00000000-0008-0000-0D00-000002600000}"/>
            </a:ext>
          </a:extLst>
        </xdr:cNvPr>
        <xdr:cNvPicPr>
          <a:picLocks noChangeAspect="1" noChangeArrowheads="1"/>
        </xdr:cNvPicPr>
      </xdr:nvPicPr>
      <xdr:blipFill>
        <a:blip xmlns:r="http://schemas.openxmlformats.org/officeDocument/2006/relationships" r:embed="rId2" cstate="print">
          <a:clrChange>
            <a:clrFrom>
              <a:srgbClr val="F6C5B4"/>
            </a:clrFrom>
            <a:clrTo>
              <a:srgbClr val="F6C5B4">
                <a:alpha val="0"/>
              </a:srgbClr>
            </a:clrTo>
          </a:clrChange>
        </a:blip>
        <a:srcRect/>
        <a:stretch>
          <a:fillRect/>
        </a:stretch>
      </xdr:blipFill>
      <xdr:spPr bwMode="auto">
        <a:xfrm>
          <a:off x="22860" y="22860"/>
          <a:ext cx="556260" cy="48006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22860</xdr:colOff>
      <xdr:row>0</xdr:row>
      <xdr:rowOff>22860</xdr:rowOff>
    </xdr:from>
    <xdr:to>
      <xdr:col>0</xdr:col>
      <xdr:colOff>579120</xdr:colOff>
      <xdr:row>1</xdr:row>
      <xdr:rowOff>0</xdr:rowOff>
    </xdr:to>
    <xdr:pic>
      <xdr:nvPicPr>
        <xdr:cNvPr id="30722" name="Picture 2" descr="mohr">
          <a:extLst>
            <a:ext uri="{FF2B5EF4-FFF2-40B4-BE49-F238E27FC236}">
              <a16:creationId xmlns:a16="http://schemas.microsoft.com/office/drawing/2014/main" id="{00000000-0008-0000-0E00-000002780000}"/>
            </a:ext>
          </a:extLst>
        </xdr:cNvPr>
        <xdr:cNvPicPr>
          <a:picLocks noChangeAspect="1" noChangeArrowheads="1"/>
        </xdr:cNvPicPr>
      </xdr:nvPicPr>
      <xdr:blipFill>
        <a:blip xmlns:r="http://schemas.openxmlformats.org/officeDocument/2006/relationships" r:embed="rId1" cstate="print">
          <a:clrChange>
            <a:clrFrom>
              <a:srgbClr val="F6C5B4"/>
            </a:clrFrom>
            <a:clrTo>
              <a:srgbClr val="F6C5B4">
                <a:alpha val="0"/>
              </a:srgbClr>
            </a:clrTo>
          </a:clrChange>
        </a:blip>
        <a:srcRect/>
        <a:stretch>
          <a:fillRect/>
        </a:stretch>
      </xdr:blipFill>
      <xdr:spPr bwMode="auto">
        <a:xfrm>
          <a:off x="22860" y="22860"/>
          <a:ext cx="556260" cy="480060"/>
        </a:xfrm>
        <a:prstGeom prst="rect">
          <a:avLst/>
        </a:prstGeom>
        <a:noFill/>
      </xdr:spPr>
    </xdr:pic>
    <xdr:clientData/>
  </xdr:twoCellAnchor>
  <xdr:twoCellAnchor editAs="oneCell">
    <xdr:from>
      <xdr:col>0</xdr:col>
      <xdr:colOff>982980</xdr:colOff>
      <xdr:row>23</xdr:row>
      <xdr:rowOff>68580</xdr:rowOff>
    </xdr:from>
    <xdr:to>
      <xdr:col>7</xdr:col>
      <xdr:colOff>922020</xdr:colOff>
      <xdr:row>40</xdr:row>
      <xdr:rowOff>7620</xdr:rowOff>
    </xdr:to>
    <xdr:pic>
      <xdr:nvPicPr>
        <xdr:cNvPr id="30723" name="Picture 3">
          <a:extLst>
            <a:ext uri="{FF2B5EF4-FFF2-40B4-BE49-F238E27FC236}">
              <a16:creationId xmlns:a16="http://schemas.microsoft.com/office/drawing/2014/main" id="{00000000-0008-0000-0E00-0000037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82980" y="5006340"/>
          <a:ext cx="4526280" cy="265938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617220</xdr:colOff>
      <xdr:row>0</xdr:row>
      <xdr:rowOff>15240</xdr:rowOff>
    </xdr:from>
    <xdr:to>
      <xdr:col>2</xdr:col>
      <xdr:colOff>182880</xdr:colOff>
      <xdr:row>0</xdr:row>
      <xdr:rowOff>708660</xdr:rowOff>
    </xdr:to>
    <xdr:pic>
      <xdr:nvPicPr>
        <xdr:cNvPr id="18433" name="Picture 1" descr="mohr">
          <a:extLst>
            <a:ext uri="{FF2B5EF4-FFF2-40B4-BE49-F238E27FC236}">
              <a16:creationId xmlns:a16="http://schemas.microsoft.com/office/drawing/2014/main" id="{00000000-0008-0000-0F00-000001480000}"/>
            </a:ext>
          </a:extLst>
        </xdr:cNvPr>
        <xdr:cNvPicPr>
          <a:picLocks noChangeAspect="1" noChangeArrowheads="1"/>
        </xdr:cNvPicPr>
      </xdr:nvPicPr>
      <xdr:blipFill>
        <a:blip xmlns:r="http://schemas.openxmlformats.org/officeDocument/2006/relationships" r:embed="rId1" cstate="print">
          <a:clrChange>
            <a:clrFrom>
              <a:srgbClr val="F6C5B4"/>
            </a:clrFrom>
            <a:clrTo>
              <a:srgbClr val="F6C5B4">
                <a:alpha val="0"/>
              </a:srgbClr>
            </a:clrTo>
          </a:clrChange>
        </a:blip>
        <a:srcRect/>
        <a:stretch>
          <a:fillRect/>
        </a:stretch>
      </xdr:blipFill>
      <xdr:spPr bwMode="auto">
        <a:xfrm>
          <a:off x="617220" y="15240"/>
          <a:ext cx="784860" cy="69342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9</xdr:col>
      <xdr:colOff>891540</xdr:colOff>
      <xdr:row>37</xdr:row>
      <xdr:rowOff>160020</xdr:rowOff>
    </xdr:to>
    <xdr:pic>
      <xdr:nvPicPr>
        <xdr:cNvPr id="6145" name="Picture 1">
          <a:extLst>
            <a:ext uri="{FF2B5EF4-FFF2-40B4-BE49-F238E27FC236}">
              <a16:creationId xmlns:a16="http://schemas.microsoft.com/office/drawing/2014/main" id="{00000000-0008-0000-1000-0000011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27760"/>
          <a:ext cx="6377940" cy="5814060"/>
        </a:xfrm>
        <a:prstGeom prst="rect">
          <a:avLst/>
        </a:prstGeom>
        <a:noFill/>
      </xdr:spPr>
    </xdr:pic>
    <xdr:clientData/>
  </xdr:twoCellAnchor>
  <xdr:twoCellAnchor editAs="oneCell">
    <xdr:from>
      <xdr:col>0</xdr:col>
      <xdr:colOff>0</xdr:colOff>
      <xdr:row>0</xdr:row>
      <xdr:rowOff>15240</xdr:rowOff>
    </xdr:from>
    <xdr:to>
      <xdr:col>1</xdr:col>
      <xdr:colOff>160020</xdr:colOff>
      <xdr:row>0</xdr:row>
      <xdr:rowOff>708660</xdr:rowOff>
    </xdr:to>
    <xdr:pic>
      <xdr:nvPicPr>
        <xdr:cNvPr id="6147" name="Picture 3" descr="mohr">
          <a:extLst>
            <a:ext uri="{FF2B5EF4-FFF2-40B4-BE49-F238E27FC236}">
              <a16:creationId xmlns:a16="http://schemas.microsoft.com/office/drawing/2014/main" id="{00000000-0008-0000-1000-000003180000}"/>
            </a:ext>
          </a:extLst>
        </xdr:cNvPr>
        <xdr:cNvPicPr>
          <a:picLocks noChangeAspect="1" noChangeArrowheads="1"/>
        </xdr:cNvPicPr>
      </xdr:nvPicPr>
      <xdr:blipFill>
        <a:blip xmlns:r="http://schemas.openxmlformats.org/officeDocument/2006/relationships" r:embed="rId2" cstate="print">
          <a:clrChange>
            <a:clrFrom>
              <a:srgbClr val="F6C5B4"/>
            </a:clrFrom>
            <a:clrTo>
              <a:srgbClr val="F6C5B4">
                <a:alpha val="0"/>
              </a:srgbClr>
            </a:clrTo>
          </a:clrChange>
        </a:blip>
        <a:srcRect/>
        <a:stretch>
          <a:fillRect/>
        </a:stretch>
      </xdr:blipFill>
      <xdr:spPr bwMode="auto">
        <a:xfrm>
          <a:off x="0" y="15240"/>
          <a:ext cx="769620" cy="69342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li\Downloads\CO2%20Calculator%20(Total%20Flooding),%20R.26.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 val="Introduction"/>
      <sheetName val="Summary"/>
      <sheetName val="Protected Areas"/>
      <sheetName val="Flow rate"/>
      <sheetName val="D.S. - D.C. &amp; F.F. "/>
      <sheetName val="S.F. - F.F."/>
      <sheetName val="S.F. - D.C (NFPA)"/>
      <sheetName val="S.F. - MCF"/>
      <sheetName val="S.F. - D.C (BS)"/>
      <sheetName val="Temp. Compensation"/>
      <sheetName val="Leakage Compensation"/>
      <sheetName val="Leakage Rate"/>
    </sheetNames>
    <sheetDataSet>
      <sheetData sheetId="0">
        <row r="2">
          <cell r="B2" t="str">
            <v>NFPA 12</v>
          </cell>
        </row>
      </sheetData>
      <sheetData sheetId="1" refreshError="1"/>
      <sheetData sheetId="2"/>
      <sheetData sheetId="3">
        <row r="10">
          <cell r="D10" t="str">
            <v>NFPA 12</v>
          </cell>
        </row>
      </sheetData>
      <sheetData sheetId="4">
        <row r="11">
          <cell r="C11">
            <v>8</v>
          </cell>
        </row>
      </sheetData>
      <sheetData sheetId="5" refreshError="1"/>
      <sheetData sheetId="6" refreshError="1"/>
      <sheetData sheetId="7" refreshError="1"/>
      <sheetData sheetId="8" refreshError="1"/>
      <sheetData sheetId="9" refreshError="1"/>
      <sheetData sheetId="10" refreshError="1"/>
      <sheetData sheetId="11">
        <row r="14">
          <cell r="S14">
            <v>0</v>
          </cell>
        </row>
      </sheetData>
      <sheetData sheetId="12">
        <row r="18">
          <cell r="P18">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46"/>
  <sheetViews>
    <sheetView showGridLines="0" rightToLeft="1" tabSelected="1" view="pageBreakPreview" zoomScale="115" zoomScaleNormal="100" zoomScaleSheetLayoutView="115" workbookViewId="0">
      <pane ySplit="6" topLeftCell="A7" activePane="bottomLeft" state="frozen"/>
      <selection pane="bottomLeft" activeCell="C1" sqref="C1"/>
    </sheetView>
  </sheetViews>
  <sheetFormatPr defaultColWidth="9.140625" defaultRowHeight="15.75"/>
  <cols>
    <col min="1" max="1" width="4.7109375" style="191" customWidth="1"/>
    <col min="2" max="13" width="10.7109375" style="191" customWidth="1"/>
    <col min="14" max="14" width="4.7109375" style="191" customWidth="1"/>
    <col min="15" max="16384" width="9.140625" style="191"/>
  </cols>
  <sheetData>
    <row r="1" spans="1:13" ht="12" customHeight="1">
      <c r="B1" s="189" t="str">
        <f>Summary!K1</f>
        <v>1396/10/22</v>
      </c>
      <c r="C1" s="189" t="s">
        <v>435</v>
      </c>
      <c r="D1" s="190"/>
      <c r="E1" s="190"/>
      <c r="F1" s="190"/>
      <c r="G1" s="190"/>
      <c r="H1" s="190"/>
      <c r="I1" s="190"/>
      <c r="J1" s="190"/>
      <c r="K1" s="190"/>
      <c r="L1" s="190"/>
      <c r="M1" s="190"/>
    </row>
    <row r="2" spans="1:13" ht="12" customHeight="1">
      <c r="B2" s="189">
        <f>Summary!K2</f>
        <v>38.299999999999997</v>
      </c>
      <c r="C2" s="189" t="s">
        <v>436</v>
      </c>
      <c r="D2" s="190"/>
      <c r="E2" s="190"/>
      <c r="F2" s="190"/>
      <c r="G2" s="190"/>
      <c r="H2" s="190"/>
      <c r="I2" s="190"/>
      <c r="J2" s="190"/>
      <c r="K2" s="190"/>
      <c r="L2" s="190"/>
      <c r="M2" s="190"/>
    </row>
    <row r="3" spans="1:13" ht="12" customHeight="1">
      <c r="B3" s="331" t="s">
        <v>437</v>
      </c>
      <c r="C3" s="331"/>
      <c r="D3" s="192"/>
      <c r="E3" s="190"/>
      <c r="F3" s="190"/>
      <c r="G3" s="190"/>
      <c r="H3" s="190"/>
      <c r="I3" s="190"/>
      <c r="J3" s="190"/>
      <c r="K3" s="190"/>
      <c r="L3" s="190"/>
      <c r="M3" s="190"/>
    </row>
    <row r="4" spans="1:13" ht="25.5">
      <c r="A4" s="333" t="s">
        <v>438</v>
      </c>
      <c r="B4" s="333"/>
      <c r="C4" s="333"/>
      <c r="D4" s="333"/>
      <c r="E4" s="333"/>
      <c r="F4" s="333"/>
      <c r="G4" s="333"/>
      <c r="H4" s="333"/>
      <c r="I4" s="333"/>
      <c r="J4" s="333"/>
      <c r="K4" s="333"/>
      <c r="L4" s="333"/>
      <c r="M4" s="333"/>
    </row>
    <row r="5" spans="1:13" ht="12" customHeight="1">
      <c r="B5" s="193"/>
      <c r="C5" s="193"/>
      <c r="D5" s="193"/>
      <c r="E5" s="193"/>
      <c r="F5" s="193"/>
      <c r="G5" s="193"/>
      <c r="H5" s="193"/>
      <c r="I5" s="193"/>
      <c r="J5" s="193"/>
      <c r="K5" s="193"/>
      <c r="L5" s="193"/>
      <c r="M5" s="193"/>
    </row>
    <row r="6" spans="1:13" ht="20.25">
      <c r="A6" s="332" t="s">
        <v>439</v>
      </c>
      <c r="B6" s="332"/>
      <c r="C6" s="332"/>
      <c r="D6" s="332"/>
      <c r="E6" s="332"/>
      <c r="F6" s="332"/>
      <c r="G6" s="332"/>
      <c r="H6" s="332"/>
      <c r="I6" s="332"/>
      <c r="J6" s="332"/>
      <c r="K6" s="332"/>
      <c r="L6" s="332"/>
      <c r="M6" s="332"/>
    </row>
    <row r="7" spans="1:13" ht="20.25">
      <c r="B7" s="194"/>
      <c r="C7" s="194"/>
      <c r="D7" s="194"/>
      <c r="E7" s="194"/>
      <c r="F7" s="194"/>
      <c r="G7" s="194"/>
      <c r="H7" s="194"/>
      <c r="I7" s="194"/>
      <c r="J7" s="194"/>
      <c r="K7" s="194"/>
      <c r="L7" s="194"/>
      <c r="M7" s="194"/>
    </row>
    <row r="8" spans="1:13" ht="20.100000000000001" customHeight="1">
      <c r="B8" s="330" t="s">
        <v>543</v>
      </c>
      <c r="C8" s="330"/>
      <c r="D8" s="330"/>
      <c r="E8" s="330"/>
      <c r="F8" s="330"/>
      <c r="G8" s="330"/>
      <c r="H8" s="330"/>
      <c r="I8" s="330"/>
      <c r="J8" s="330"/>
      <c r="K8" s="330"/>
      <c r="L8" s="330"/>
      <c r="M8" s="330"/>
    </row>
    <row r="9" spans="1:13" ht="20.100000000000001" customHeight="1">
      <c r="B9" s="330"/>
      <c r="C9" s="330"/>
      <c r="D9" s="330"/>
      <c r="E9" s="330"/>
      <c r="F9" s="330"/>
      <c r="G9" s="330"/>
      <c r="H9" s="330"/>
      <c r="I9" s="330"/>
      <c r="J9" s="330"/>
      <c r="K9" s="330"/>
      <c r="L9" s="330"/>
      <c r="M9" s="330"/>
    </row>
    <row r="10" spans="1:13" ht="20.100000000000001" customHeight="1">
      <c r="B10" s="330"/>
      <c r="C10" s="330"/>
      <c r="D10" s="330"/>
      <c r="E10" s="330"/>
      <c r="F10" s="330"/>
      <c r="G10" s="330"/>
      <c r="H10" s="330"/>
      <c r="I10" s="330"/>
      <c r="J10" s="330"/>
      <c r="K10" s="330"/>
      <c r="L10" s="330"/>
      <c r="M10" s="330"/>
    </row>
    <row r="11" spans="1:13" ht="20.100000000000001" customHeight="1">
      <c r="B11" s="330"/>
      <c r="C11" s="330"/>
      <c r="D11" s="330"/>
      <c r="E11" s="330"/>
      <c r="F11" s="330"/>
      <c r="G11" s="330"/>
      <c r="H11" s="330"/>
      <c r="I11" s="330"/>
      <c r="J11" s="330"/>
      <c r="K11" s="330"/>
      <c r="L11" s="330"/>
      <c r="M11" s="330"/>
    </row>
    <row r="12" spans="1:13" ht="20.100000000000001" customHeight="1">
      <c r="B12" s="330"/>
      <c r="C12" s="330"/>
      <c r="D12" s="330"/>
      <c r="E12" s="330"/>
      <c r="F12" s="330"/>
      <c r="G12" s="330"/>
      <c r="H12" s="330"/>
      <c r="I12" s="330"/>
      <c r="J12" s="330"/>
      <c r="K12" s="330"/>
      <c r="L12" s="330"/>
      <c r="M12" s="330"/>
    </row>
    <row r="13" spans="1:13" ht="20.100000000000001" customHeight="1">
      <c r="B13" s="330"/>
      <c r="C13" s="330"/>
      <c r="D13" s="330"/>
      <c r="E13" s="330"/>
      <c r="F13" s="330"/>
      <c r="G13" s="330"/>
      <c r="H13" s="330"/>
      <c r="I13" s="330"/>
      <c r="J13" s="330"/>
      <c r="K13" s="330"/>
      <c r="L13" s="330"/>
      <c r="M13" s="330"/>
    </row>
    <row r="14" spans="1:13" ht="20.100000000000001" customHeight="1">
      <c r="B14" s="330"/>
      <c r="C14" s="330"/>
      <c r="D14" s="330"/>
      <c r="E14" s="330"/>
      <c r="F14" s="330"/>
      <c r="G14" s="330"/>
      <c r="H14" s="330"/>
      <c r="I14" s="330"/>
      <c r="J14" s="330"/>
      <c r="K14" s="330"/>
      <c r="L14" s="330"/>
      <c r="M14" s="330"/>
    </row>
    <row r="15" spans="1:13" ht="20.100000000000001" customHeight="1">
      <c r="B15" s="330"/>
      <c r="C15" s="330"/>
      <c r="D15" s="330"/>
      <c r="E15" s="330"/>
      <c r="F15" s="330"/>
      <c r="G15" s="330"/>
      <c r="H15" s="330"/>
      <c r="I15" s="330"/>
      <c r="J15" s="330"/>
      <c r="K15" s="330"/>
      <c r="L15" s="330"/>
      <c r="M15" s="330"/>
    </row>
    <row r="16" spans="1:13" ht="20.100000000000001" customHeight="1">
      <c r="B16" s="330"/>
      <c r="C16" s="330"/>
      <c r="D16" s="330"/>
      <c r="E16" s="330"/>
      <c r="F16" s="330"/>
      <c r="G16" s="330"/>
      <c r="H16" s="330"/>
      <c r="I16" s="330"/>
      <c r="J16" s="330"/>
      <c r="K16" s="330"/>
      <c r="L16" s="330"/>
      <c r="M16" s="330"/>
    </row>
    <row r="17" spans="1:13" ht="20.100000000000001" customHeight="1">
      <c r="B17" s="330"/>
      <c r="C17" s="330"/>
      <c r="D17" s="330"/>
      <c r="E17" s="330"/>
      <c r="F17" s="330"/>
      <c r="G17" s="330"/>
      <c r="H17" s="330"/>
      <c r="I17" s="330"/>
      <c r="J17" s="330"/>
      <c r="K17" s="330"/>
      <c r="L17" s="330"/>
      <c r="M17" s="330"/>
    </row>
    <row r="18" spans="1:13" ht="20.100000000000001" customHeight="1">
      <c r="B18" s="330"/>
      <c r="C18" s="330"/>
      <c r="D18" s="330"/>
      <c r="E18" s="330"/>
      <c r="F18" s="330"/>
      <c r="G18" s="330"/>
      <c r="H18" s="330"/>
      <c r="I18" s="330"/>
      <c r="J18" s="330"/>
      <c r="K18" s="330"/>
      <c r="L18" s="330"/>
      <c r="M18" s="330"/>
    </row>
    <row r="19" spans="1:13" ht="20.100000000000001" customHeight="1">
      <c r="B19" s="195"/>
      <c r="C19" s="195"/>
      <c r="D19" s="195"/>
      <c r="E19" s="195"/>
      <c r="F19" s="195"/>
      <c r="G19" s="195"/>
      <c r="H19" s="195"/>
      <c r="I19" s="195"/>
      <c r="J19" s="195"/>
      <c r="K19" s="195"/>
      <c r="L19" s="195"/>
      <c r="M19" s="195"/>
    </row>
    <row r="20" spans="1:13">
      <c r="B20" s="190"/>
      <c r="C20" s="190"/>
      <c r="D20" s="190"/>
      <c r="E20" s="190"/>
      <c r="F20" s="190"/>
      <c r="G20" s="190"/>
      <c r="H20" s="190"/>
      <c r="I20" s="190"/>
      <c r="J20" s="190"/>
      <c r="K20" s="190"/>
      <c r="L20" s="190"/>
      <c r="M20" s="190"/>
    </row>
    <row r="21" spans="1:13" ht="20.100000000000001" customHeight="1">
      <c r="A21" s="330" t="s">
        <v>542</v>
      </c>
      <c r="B21" s="330"/>
      <c r="C21" s="330"/>
      <c r="D21" s="330"/>
      <c r="E21" s="330"/>
      <c r="F21" s="330"/>
      <c r="G21" s="330"/>
      <c r="H21" s="330"/>
      <c r="I21" s="330"/>
      <c r="J21" s="330"/>
      <c r="K21" s="330"/>
      <c r="L21" s="330"/>
      <c r="M21" s="330"/>
    </row>
    <row r="22" spans="1:13" ht="20.100000000000001" customHeight="1">
      <c r="A22" s="330"/>
      <c r="B22" s="330"/>
      <c r="C22" s="330"/>
      <c r="D22" s="330"/>
      <c r="E22" s="330"/>
      <c r="F22" s="330"/>
      <c r="G22" s="330"/>
      <c r="H22" s="330"/>
      <c r="I22" s="330"/>
      <c r="J22" s="330"/>
      <c r="K22" s="330"/>
      <c r="L22" s="330"/>
      <c r="M22" s="330"/>
    </row>
    <row r="23" spans="1:13" ht="20.100000000000001" customHeight="1">
      <c r="A23" s="330"/>
      <c r="B23" s="330"/>
      <c r="C23" s="330"/>
      <c r="D23" s="330"/>
      <c r="E23" s="330"/>
      <c r="F23" s="330"/>
      <c r="G23" s="330"/>
      <c r="H23" s="330"/>
      <c r="I23" s="330"/>
      <c r="J23" s="330"/>
      <c r="K23" s="330"/>
      <c r="L23" s="330"/>
      <c r="M23" s="330"/>
    </row>
    <row r="24" spans="1:13" ht="20.100000000000001" customHeight="1">
      <c r="A24" s="330"/>
      <c r="B24" s="330"/>
      <c r="C24" s="330"/>
      <c r="D24" s="330"/>
      <c r="E24" s="330"/>
      <c r="F24" s="330"/>
      <c r="G24" s="330"/>
      <c r="H24" s="330"/>
      <c r="I24" s="330"/>
      <c r="J24" s="330"/>
      <c r="K24" s="330"/>
      <c r="L24" s="330"/>
      <c r="M24" s="330"/>
    </row>
    <row r="25" spans="1:13" ht="20.100000000000001" customHeight="1">
      <c r="A25" s="330"/>
      <c r="B25" s="330"/>
      <c r="C25" s="330"/>
      <c r="D25" s="330"/>
      <c r="E25" s="330"/>
      <c r="F25" s="330"/>
      <c r="G25" s="330"/>
      <c r="H25" s="330"/>
      <c r="I25" s="330"/>
      <c r="J25" s="330"/>
      <c r="K25" s="330"/>
      <c r="L25" s="330"/>
      <c r="M25" s="330"/>
    </row>
    <row r="26" spans="1:13" ht="20.100000000000001" customHeight="1">
      <c r="A26" s="330"/>
      <c r="B26" s="330"/>
      <c r="C26" s="330"/>
      <c r="D26" s="330"/>
      <c r="E26" s="330"/>
      <c r="F26" s="330"/>
      <c r="G26" s="330"/>
      <c r="H26" s="330"/>
      <c r="I26" s="330"/>
      <c r="J26" s="330"/>
      <c r="K26" s="330"/>
      <c r="L26" s="330"/>
      <c r="M26" s="330"/>
    </row>
    <row r="27" spans="1:13" ht="20.100000000000001" customHeight="1">
      <c r="A27" s="330"/>
      <c r="B27" s="330"/>
      <c r="C27" s="330"/>
      <c r="D27" s="330"/>
      <c r="E27" s="330"/>
      <c r="F27" s="330"/>
      <c r="G27" s="330"/>
      <c r="H27" s="330"/>
      <c r="I27" s="330"/>
      <c r="J27" s="330"/>
      <c r="K27" s="330"/>
      <c r="L27" s="330"/>
      <c r="M27" s="330"/>
    </row>
    <row r="28" spans="1:13" ht="20.100000000000001" customHeight="1">
      <c r="A28" s="330"/>
      <c r="B28" s="330"/>
      <c r="C28" s="330"/>
      <c r="D28" s="330"/>
      <c r="E28" s="330"/>
      <c r="F28" s="330"/>
      <c r="G28" s="330"/>
      <c r="H28" s="330"/>
      <c r="I28" s="330"/>
      <c r="J28" s="330"/>
      <c r="K28" s="330"/>
      <c r="L28" s="330"/>
      <c r="M28" s="330"/>
    </row>
    <row r="29" spans="1:13" ht="19.5">
      <c r="B29" s="330"/>
      <c r="C29" s="330"/>
      <c r="D29" s="330"/>
      <c r="E29" s="330"/>
      <c r="F29" s="330"/>
      <c r="G29" s="330"/>
      <c r="H29" s="330"/>
      <c r="I29" s="330"/>
      <c r="J29" s="330"/>
      <c r="K29" s="330"/>
      <c r="L29" s="330"/>
      <c r="M29" s="330"/>
    </row>
    <row r="30" spans="1:13">
      <c r="B30" s="190"/>
      <c r="C30" s="190"/>
      <c r="D30" s="190"/>
      <c r="E30" s="190"/>
      <c r="F30" s="190"/>
      <c r="G30" s="190"/>
      <c r="H30" s="190"/>
      <c r="I30" s="190"/>
      <c r="J30" s="190"/>
      <c r="K30" s="190"/>
      <c r="L30" s="190"/>
      <c r="M30" s="190"/>
    </row>
    <row r="31" spans="1:13">
      <c r="B31" s="190"/>
      <c r="C31" s="190"/>
      <c r="D31" s="190"/>
      <c r="E31" s="190"/>
      <c r="F31" s="190"/>
      <c r="G31" s="190"/>
      <c r="H31" s="190"/>
      <c r="I31" s="190"/>
      <c r="J31" s="190"/>
      <c r="K31" s="334" t="s">
        <v>440</v>
      </c>
      <c r="L31" s="334"/>
      <c r="M31" s="190"/>
    </row>
    <row r="32" spans="1:13">
      <c r="B32" s="190"/>
      <c r="C32" s="190"/>
      <c r="D32" s="190"/>
      <c r="E32" s="190"/>
      <c r="F32" s="190"/>
      <c r="G32" s="190"/>
      <c r="H32" s="190"/>
      <c r="I32" s="190"/>
      <c r="J32" s="190"/>
      <c r="K32" s="334" t="s">
        <v>441</v>
      </c>
      <c r="L32" s="334"/>
      <c r="M32" s="190"/>
    </row>
    <row r="33" spans="2:13">
      <c r="B33" s="190"/>
      <c r="C33" s="190"/>
      <c r="D33" s="190"/>
      <c r="E33" s="190"/>
      <c r="F33" s="190"/>
      <c r="G33" s="190"/>
      <c r="H33" s="190"/>
      <c r="I33" s="190"/>
      <c r="J33" s="190"/>
      <c r="K33" s="196"/>
      <c r="L33" s="196"/>
      <c r="M33" s="190"/>
    </row>
    <row r="34" spans="2:13">
      <c r="B34" s="190"/>
      <c r="C34" s="190"/>
      <c r="D34" s="190"/>
      <c r="E34" s="190"/>
      <c r="F34" s="190"/>
      <c r="G34" s="190"/>
      <c r="H34" s="190"/>
      <c r="I34" s="190"/>
      <c r="J34" s="334" t="s">
        <v>514</v>
      </c>
      <c r="K34" s="334"/>
      <c r="L34" s="334"/>
      <c r="M34" s="334"/>
    </row>
    <row r="35" spans="2:13">
      <c r="B35" s="190"/>
      <c r="C35" s="190"/>
      <c r="D35" s="190"/>
      <c r="E35" s="190"/>
      <c r="F35" s="190"/>
      <c r="G35" s="190"/>
      <c r="H35" s="190"/>
      <c r="I35" s="190"/>
      <c r="J35" s="190"/>
      <c r="K35" s="196"/>
      <c r="L35" s="196"/>
      <c r="M35" s="190"/>
    </row>
    <row r="36" spans="2:13">
      <c r="B36" s="190"/>
      <c r="C36" s="190"/>
      <c r="D36" s="190"/>
      <c r="E36" s="190"/>
      <c r="F36" s="190"/>
      <c r="G36" s="190"/>
      <c r="H36" s="190"/>
      <c r="I36" s="190"/>
      <c r="J36" s="190"/>
      <c r="K36" s="190"/>
      <c r="L36" s="190"/>
      <c r="M36" s="190"/>
    </row>
    <row r="37" spans="2:13">
      <c r="B37" s="190" t="s">
        <v>442</v>
      </c>
      <c r="C37" s="190"/>
      <c r="D37" s="190"/>
      <c r="E37" s="190"/>
      <c r="F37" s="190"/>
      <c r="G37" s="190"/>
      <c r="H37" s="190"/>
      <c r="I37" s="190"/>
      <c r="J37" s="190"/>
      <c r="K37" s="190"/>
      <c r="L37" s="190"/>
      <c r="M37" s="190"/>
    </row>
    <row r="38" spans="2:13" ht="15.75" customHeight="1">
      <c r="B38" s="190"/>
      <c r="C38" s="335" t="s">
        <v>443</v>
      </c>
      <c r="D38" s="335"/>
      <c r="E38" s="335"/>
      <c r="F38" s="320" t="s">
        <v>444</v>
      </c>
      <c r="G38" s="190"/>
      <c r="H38" s="190"/>
      <c r="I38" s="190"/>
      <c r="J38" s="190"/>
      <c r="K38" s="190"/>
      <c r="L38" s="190"/>
      <c r="M38" s="190"/>
    </row>
    <row r="39" spans="2:13">
      <c r="B39" s="190"/>
      <c r="C39" s="335"/>
      <c r="D39" s="335"/>
      <c r="E39" s="335"/>
      <c r="F39" s="321"/>
      <c r="G39" s="190"/>
      <c r="H39" s="190"/>
      <c r="I39" s="190"/>
      <c r="J39" s="190"/>
      <c r="K39" s="190"/>
      <c r="L39" s="190"/>
      <c r="M39" s="190"/>
    </row>
    <row r="40" spans="2:13">
      <c r="B40" s="190"/>
      <c r="C40" s="336" t="s">
        <v>445</v>
      </c>
      <c r="D40" s="336"/>
      <c r="E40" s="336"/>
      <c r="F40" s="320" t="s">
        <v>446</v>
      </c>
      <c r="G40" s="190"/>
      <c r="H40" s="190"/>
      <c r="I40" s="190"/>
      <c r="J40" s="190"/>
      <c r="K40" s="190"/>
      <c r="L40" s="190"/>
      <c r="M40" s="190"/>
    </row>
    <row r="41" spans="2:13">
      <c r="B41" s="190"/>
      <c r="C41" s="198"/>
      <c r="D41" s="198"/>
      <c r="E41" s="198"/>
      <c r="F41" s="197"/>
      <c r="G41" s="190"/>
      <c r="H41" s="190"/>
      <c r="I41" s="190"/>
      <c r="J41" s="190"/>
      <c r="K41" s="190"/>
      <c r="L41" s="190"/>
      <c r="M41" s="190"/>
    </row>
    <row r="42" spans="2:13">
      <c r="B42" s="190"/>
      <c r="C42" s="198"/>
      <c r="D42" s="198"/>
      <c r="E42" s="198"/>
      <c r="F42" s="197"/>
      <c r="G42" s="190"/>
      <c r="H42" s="190"/>
      <c r="I42" s="190"/>
      <c r="J42" s="190"/>
      <c r="K42" s="190"/>
      <c r="L42" s="190"/>
      <c r="M42" s="190"/>
    </row>
    <row r="43" spans="2:13">
      <c r="B43" s="190"/>
      <c r="C43" s="198"/>
      <c r="D43" s="198"/>
      <c r="E43" s="198"/>
      <c r="F43" s="197"/>
      <c r="G43" s="190"/>
      <c r="H43" s="190"/>
      <c r="I43" s="190"/>
      <c r="J43" s="190"/>
      <c r="K43" s="190"/>
      <c r="L43" s="190"/>
      <c r="M43" s="190"/>
    </row>
    <row r="44" spans="2:13">
      <c r="B44" s="190"/>
      <c r="C44" s="198"/>
      <c r="D44" s="198"/>
      <c r="E44" s="198"/>
      <c r="F44" s="197"/>
      <c r="G44" s="190"/>
      <c r="H44" s="190"/>
      <c r="I44" s="190"/>
      <c r="J44" s="190"/>
      <c r="K44" s="190"/>
      <c r="L44" s="190"/>
      <c r="M44" s="190"/>
    </row>
    <row r="45" spans="2:13">
      <c r="B45" s="190"/>
      <c r="C45" s="198"/>
      <c r="D45" s="198"/>
      <c r="E45" s="198"/>
      <c r="F45" s="197"/>
      <c r="G45" s="190"/>
      <c r="H45" s="190"/>
      <c r="I45" s="190"/>
      <c r="J45" s="190"/>
      <c r="K45" s="190"/>
      <c r="L45" s="190"/>
      <c r="M45" s="190"/>
    </row>
    <row r="46" spans="2:13">
      <c r="B46" s="190"/>
      <c r="C46" s="190"/>
      <c r="D46" s="190"/>
      <c r="E46" s="190"/>
      <c r="F46" s="190"/>
      <c r="G46" s="190"/>
      <c r="H46" s="190"/>
      <c r="I46" s="190"/>
      <c r="J46" s="190"/>
      <c r="K46" s="190"/>
      <c r="L46" s="190"/>
      <c r="M46" s="190"/>
    </row>
  </sheetData>
  <sheetProtection algorithmName="SHA-512" hashValue="xPZi5HlBjWxu6yVsX0YI/94zFpNWWnrB0lyWLRe5fOvM7PcS8VvTtS4wYl9N/D+kS3Lz7h4wmc1eNcPgWUnnEg==" saltValue="miUKqbCpyGBl8DOq+/bCXA==" spinCount="100000" sheet="1" objects="1" scenarios="1"/>
  <mergeCells count="11">
    <mergeCell ref="K31:L31"/>
    <mergeCell ref="K32:L32"/>
    <mergeCell ref="J34:M34"/>
    <mergeCell ref="C38:E39"/>
    <mergeCell ref="C40:E40"/>
    <mergeCell ref="B29:M29"/>
    <mergeCell ref="B3:C3"/>
    <mergeCell ref="B8:M18"/>
    <mergeCell ref="A6:M6"/>
    <mergeCell ref="A4:M4"/>
    <mergeCell ref="A21:M28"/>
  </mergeCells>
  <pageMargins left="0.5" right="0.5" top="0.75" bottom="0.5" header="0.3" footer="0.3"/>
  <pageSetup paperSize="9" scale="70" orientation="portrait" horizontalDpi="1200" verticalDpi="1200" r:id="rId1"/>
  <headerFooter>
    <oddFooter>&amp;L&amp;"Cambria,Regular"&amp;7Tel  : +98 (21) 4420 1601
&amp;K00+000Tel  : &amp;K000000+98 (21) 4420 1768
Fax : +98 (21) 4420 1934&amp;C&amp;"Cambria,Regular"&amp;7Intro&amp;R&amp;"Cambria,Regular"&amp;7Created by Ali Cheraghi
(BSEE)</oddFooter>
  </headerFooter>
  <drawing r:id="rId2"/>
  <legacyDrawing r:id="rId3"/>
  <oleObjects>
    <mc:AlternateContent xmlns:mc="http://schemas.openxmlformats.org/markup-compatibility/2006">
      <mc:Choice Requires="x14">
        <oleObject progId="AcroExch.Document.7" dvAspect="DVASPECT_ICON" shapeId="74758" r:id="rId4">
          <objectPr locked="0" defaultSize="0" autoPict="0" r:id="rId5">
            <anchor moveWithCells="1">
              <from>
                <xdr:col>5</xdr:col>
                <xdr:colOff>514350</xdr:colOff>
                <xdr:row>42</xdr:row>
                <xdr:rowOff>161925</xdr:rowOff>
              </from>
              <to>
                <xdr:col>6</xdr:col>
                <xdr:colOff>504825</xdr:colOff>
                <xdr:row>45</xdr:row>
                <xdr:rowOff>152400</xdr:rowOff>
              </to>
            </anchor>
          </objectPr>
        </oleObject>
      </mc:Choice>
      <mc:Fallback>
        <oleObject progId="AcroExch.Document.7" dvAspect="DVASPECT_ICON" shapeId="74758"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pageSetUpPr fitToPage="1"/>
  </sheetPr>
  <dimension ref="A1:AF150"/>
  <sheetViews>
    <sheetView showGridLines="0" view="pageBreakPreview" zoomScale="90" zoomScaleSheetLayoutView="100" workbookViewId="0">
      <pane ySplit="16" topLeftCell="A17" activePane="bottomLeft" state="frozen"/>
      <selection activeCell="P6" sqref="P6:T6"/>
      <selection pane="bottomLeft" activeCell="T5" sqref="T5:W5"/>
    </sheetView>
  </sheetViews>
  <sheetFormatPr defaultColWidth="9.140625" defaultRowHeight="15" customHeight="1"/>
  <cols>
    <col min="1" max="7" width="5.5703125" style="5" customWidth="1"/>
    <col min="8" max="17" width="10.5703125" style="5" customWidth="1"/>
    <col min="18" max="16384" width="9.140625" style="5"/>
  </cols>
  <sheetData>
    <row r="1" spans="1:23" s="200" customFormat="1" ht="9.9499999999999993" customHeight="1">
      <c r="A1" s="199"/>
      <c r="B1" s="199"/>
      <c r="C1" s="199"/>
      <c r="D1" s="199"/>
      <c r="E1" s="199"/>
      <c r="F1" s="199"/>
      <c r="G1" s="199"/>
      <c r="H1" s="199"/>
      <c r="I1" s="199"/>
      <c r="J1" s="199"/>
      <c r="K1" s="199"/>
      <c r="L1" s="199"/>
      <c r="P1" s="201" t="s">
        <v>435</v>
      </c>
      <c r="Q1" s="201" t="str">
        <f>Summary!K1</f>
        <v>1396/10/22</v>
      </c>
    </row>
    <row r="2" spans="1:23" s="200" customFormat="1" ht="9.9499999999999993" customHeight="1">
      <c r="A2" s="199"/>
      <c r="B2" s="199"/>
      <c r="C2" s="199"/>
      <c r="D2" s="199"/>
      <c r="E2" s="199"/>
      <c r="F2" s="199"/>
      <c r="G2" s="199"/>
      <c r="H2" s="199"/>
      <c r="I2" s="199"/>
      <c r="J2" s="199"/>
      <c r="K2" s="199"/>
      <c r="L2" s="199"/>
      <c r="P2" s="201" t="s">
        <v>436</v>
      </c>
      <c r="Q2" s="201">
        <f>Summary!K2</f>
        <v>38.299999999999997</v>
      </c>
    </row>
    <row r="3" spans="1:23" s="200" customFormat="1" ht="9.9499999999999993" customHeight="1">
      <c r="A3" s="199"/>
      <c r="B3" s="199"/>
      <c r="C3" s="199"/>
      <c r="D3" s="199"/>
      <c r="E3" s="199"/>
      <c r="F3" s="199"/>
      <c r="G3" s="199"/>
      <c r="H3" s="199"/>
      <c r="I3" s="199"/>
      <c r="J3" s="199"/>
      <c r="K3" s="199"/>
      <c r="L3" s="199"/>
      <c r="P3" s="227" t="s">
        <v>437</v>
      </c>
      <c r="Q3" s="227"/>
    </row>
    <row r="4" spans="1:23" s="203" customFormat="1" ht="30" customHeight="1">
      <c r="A4" s="393" t="s">
        <v>299</v>
      </c>
      <c r="B4" s="393"/>
      <c r="C4" s="393"/>
      <c r="D4" s="393"/>
      <c r="E4" s="393"/>
      <c r="F4" s="393"/>
      <c r="G4" s="393"/>
      <c r="H4" s="393"/>
      <c r="I4" s="393"/>
      <c r="J4" s="393"/>
      <c r="K4" s="393"/>
      <c r="L4" s="393"/>
      <c r="M4" s="393"/>
      <c r="N4" s="393"/>
      <c r="O4" s="393"/>
      <c r="P4" s="393"/>
      <c r="Q4" s="393"/>
      <c r="R4" s="202"/>
      <c r="S4" s="228"/>
      <c r="T4" s="396" t="s">
        <v>448</v>
      </c>
      <c r="U4" s="396"/>
      <c r="V4" s="396"/>
      <c r="W4" s="396"/>
    </row>
    <row r="5" spans="1:23" s="203" customFormat="1" ht="20.100000000000001" customHeight="1">
      <c r="A5" s="394" t="s">
        <v>277</v>
      </c>
      <c r="B5" s="394"/>
      <c r="C5" s="394"/>
      <c r="D5" s="394"/>
      <c r="E5" s="394"/>
      <c r="F5" s="394"/>
      <c r="G5" s="394"/>
      <c r="H5" s="394"/>
      <c r="I5" s="394"/>
      <c r="J5" s="394"/>
      <c r="K5" s="394"/>
      <c r="L5" s="394"/>
      <c r="M5" s="394"/>
      <c r="N5" s="394"/>
      <c r="O5" s="394"/>
      <c r="P5" s="394"/>
      <c r="Q5" s="394"/>
      <c r="R5" s="204"/>
      <c r="S5" s="229"/>
      <c r="T5" s="396" t="s">
        <v>483</v>
      </c>
      <c r="U5" s="396"/>
      <c r="V5" s="396"/>
      <c r="W5" s="396"/>
    </row>
    <row r="6" spans="1:23" s="208" customFormat="1" ht="35.1" customHeight="1">
      <c r="A6" s="395" t="str">
        <f>Project.Name</f>
        <v>Insert Project Name</v>
      </c>
      <c r="B6" s="395"/>
      <c r="C6" s="395"/>
      <c r="D6" s="395"/>
      <c r="E6" s="395"/>
      <c r="F6" s="395"/>
      <c r="G6" s="395"/>
      <c r="H6" s="395"/>
      <c r="I6" s="395"/>
      <c r="J6" s="395"/>
      <c r="K6" s="395"/>
      <c r="L6" s="395"/>
      <c r="M6" s="395"/>
      <c r="N6" s="395"/>
      <c r="O6" s="395"/>
      <c r="P6" s="395"/>
      <c r="Q6" s="395"/>
      <c r="R6" s="205"/>
      <c r="S6" s="230"/>
    </row>
    <row r="7" spans="1:23" s="41" customFormat="1" ht="15" customHeight="1">
      <c r="A7" s="496"/>
      <c r="B7" s="496"/>
      <c r="C7" s="496"/>
      <c r="D7" s="496"/>
      <c r="E7" s="496"/>
      <c r="F7" s="496"/>
      <c r="G7" s="496"/>
      <c r="H7" s="496"/>
      <c r="I7" s="496"/>
      <c r="J7" s="496"/>
      <c r="K7" s="496"/>
      <c r="L7" s="496"/>
      <c r="M7" s="496"/>
      <c r="N7" s="496"/>
      <c r="O7" s="496"/>
      <c r="P7" s="496"/>
      <c r="Q7" s="17"/>
    </row>
    <row r="8" spans="1:23" s="41" customFormat="1" ht="20.100000000000001" customHeight="1">
      <c r="A8" s="21"/>
      <c r="B8" s="21"/>
      <c r="C8" s="650" t="s">
        <v>431</v>
      </c>
      <c r="D8" s="650"/>
      <c r="E8" s="650"/>
      <c r="F8" s="650"/>
      <c r="G8" s="652">
        <f>Temp._Min.</f>
        <v>18</v>
      </c>
      <c r="H8" s="653"/>
      <c r="I8" s="58" t="s">
        <v>292</v>
      </c>
      <c r="M8" s="651" t="s">
        <v>139</v>
      </c>
      <c r="N8" s="651"/>
      <c r="O8" s="651"/>
      <c r="P8" s="298">
        <f>C41</f>
        <v>0.13730000000000001</v>
      </c>
      <c r="Q8" s="17"/>
    </row>
    <row r="9" spans="1:23" s="296" customFormat="1" ht="15" customHeight="1">
      <c r="A9" s="294"/>
      <c r="B9" s="294"/>
      <c r="C9" s="6"/>
      <c r="D9" s="6"/>
      <c r="E9" s="6"/>
      <c r="F9" s="6"/>
      <c r="G9" s="300"/>
      <c r="H9" s="300"/>
      <c r="I9" s="295"/>
      <c r="M9" s="6"/>
      <c r="N9" s="6"/>
      <c r="O9" s="6"/>
      <c r="P9" s="299"/>
      <c r="Q9" s="297"/>
    </row>
    <row r="10" spans="1:23" s="296" customFormat="1" ht="20.100000000000001" customHeight="1">
      <c r="A10" s="294"/>
      <c r="B10" s="294"/>
      <c r="C10" s="484" t="s">
        <v>511</v>
      </c>
      <c r="D10" s="654"/>
      <c r="E10" s="654"/>
      <c r="F10" s="485"/>
      <c r="G10" s="652">
        <f>M.D.C.</f>
        <v>7</v>
      </c>
      <c r="H10" s="653"/>
      <c r="I10" s="295" t="s">
        <v>14</v>
      </c>
      <c r="M10" s="651" t="s">
        <v>512</v>
      </c>
      <c r="N10" s="651"/>
      <c r="O10" s="651"/>
      <c r="P10" s="298">
        <f>SUM(AC17:AC37)</f>
        <v>0.57840000000000003</v>
      </c>
      <c r="Q10" s="232" t="s">
        <v>513</v>
      </c>
    </row>
    <row r="11" spans="1:23" s="41" customFormat="1" ht="15" customHeight="1">
      <c r="A11" s="496"/>
      <c r="B11" s="496"/>
      <c r="C11" s="496"/>
      <c r="D11" s="496"/>
      <c r="E11" s="496"/>
      <c r="F11" s="496"/>
      <c r="G11" s="496"/>
      <c r="H11" s="496"/>
      <c r="I11" s="496"/>
      <c r="J11" s="496"/>
      <c r="K11" s="496"/>
      <c r="L11" s="496"/>
      <c r="M11" s="496"/>
      <c r="N11" s="496"/>
      <c r="O11" s="496"/>
      <c r="P11" s="496"/>
      <c r="Q11" s="17"/>
      <c r="R11" s="624"/>
      <c r="S11" s="624"/>
      <c r="T11" s="624"/>
      <c r="U11" s="624"/>
    </row>
    <row r="12" spans="1:23" s="41" customFormat="1" ht="25.15" customHeight="1">
      <c r="A12" s="648" t="s">
        <v>510</v>
      </c>
      <c r="B12" s="634"/>
      <c r="C12" s="634"/>
      <c r="D12" s="634"/>
      <c r="E12" s="634"/>
      <c r="F12" s="634"/>
      <c r="G12" s="634"/>
      <c r="H12" s="634"/>
      <c r="I12" s="634"/>
      <c r="J12" s="634"/>
      <c r="K12" s="634"/>
      <c r="L12" s="634"/>
      <c r="M12" s="634"/>
      <c r="N12" s="634"/>
      <c r="O12" s="634"/>
      <c r="P12" s="634"/>
      <c r="Q12" s="634"/>
    </row>
    <row r="13" spans="1:23" s="41" customFormat="1" ht="25.15" customHeight="1">
      <c r="A13" s="649"/>
      <c r="B13" s="649"/>
      <c r="C13" s="649"/>
      <c r="D13" s="649"/>
      <c r="E13" s="649"/>
      <c r="F13" s="649"/>
      <c r="G13" s="649"/>
      <c r="H13" s="649"/>
      <c r="I13" s="649"/>
      <c r="J13" s="649"/>
      <c r="K13" s="649"/>
      <c r="L13" s="649"/>
      <c r="M13" s="649"/>
      <c r="N13" s="649"/>
      <c r="O13" s="649"/>
      <c r="P13" s="649"/>
      <c r="Q13" s="649"/>
    </row>
    <row r="14" spans="1:23" ht="15" customHeight="1">
      <c r="A14" s="644" t="s">
        <v>134</v>
      </c>
      <c r="B14" s="644"/>
      <c r="C14" s="644"/>
      <c r="D14" s="644" t="s">
        <v>239</v>
      </c>
      <c r="E14" s="645"/>
      <c r="F14" s="645"/>
      <c r="G14" s="645"/>
      <c r="H14" s="639" t="s">
        <v>517</v>
      </c>
      <c r="I14" s="639"/>
      <c r="J14" s="639"/>
      <c r="K14" s="639"/>
      <c r="L14" s="639"/>
      <c r="M14" s="639"/>
      <c r="N14" s="639"/>
      <c r="O14" s="639"/>
      <c r="P14" s="639"/>
      <c r="Q14" s="639"/>
    </row>
    <row r="15" spans="1:23" ht="15" customHeight="1">
      <c r="A15" s="644"/>
      <c r="B15" s="644"/>
      <c r="C15" s="644"/>
      <c r="D15" s="645"/>
      <c r="E15" s="645"/>
      <c r="F15" s="645"/>
      <c r="G15" s="645"/>
      <c r="H15" s="301">
        <v>6</v>
      </c>
      <c r="I15" s="301">
        <v>7</v>
      </c>
      <c r="J15" s="301">
        <v>8</v>
      </c>
      <c r="K15" s="301">
        <v>9</v>
      </c>
      <c r="L15" s="301">
        <v>10</v>
      </c>
      <c r="M15" s="301">
        <v>11</v>
      </c>
      <c r="N15" s="301">
        <v>12</v>
      </c>
      <c r="O15" s="301">
        <v>13</v>
      </c>
      <c r="P15" s="301">
        <v>14</v>
      </c>
      <c r="Q15" s="301">
        <v>15</v>
      </c>
    </row>
    <row r="16" spans="1:23" ht="15" customHeight="1">
      <c r="A16" s="644"/>
      <c r="B16" s="644"/>
      <c r="C16" s="644"/>
      <c r="D16" s="645"/>
      <c r="E16" s="645"/>
      <c r="F16" s="645"/>
      <c r="G16" s="645"/>
      <c r="H16" s="639" t="s">
        <v>135</v>
      </c>
      <c r="I16" s="639"/>
      <c r="J16" s="639"/>
      <c r="K16" s="639"/>
      <c r="L16" s="639"/>
      <c r="M16" s="639"/>
      <c r="N16" s="639"/>
      <c r="O16" s="639"/>
      <c r="P16" s="639"/>
      <c r="Q16" s="639"/>
    </row>
    <row r="17" spans="1:32" ht="20.100000000000001" customHeight="1">
      <c r="A17" s="641">
        <v>-10</v>
      </c>
      <c r="B17" s="641"/>
      <c r="C17" s="641"/>
      <c r="D17" s="642">
        <v>0.1215</v>
      </c>
      <c r="E17" s="642"/>
      <c r="F17" s="642"/>
      <c r="G17" s="642"/>
      <c r="H17" s="291">
        <v>0.52539999999999998</v>
      </c>
      <c r="I17" s="291">
        <v>0.65149999999999997</v>
      </c>
      <c r="J17" s="291">
        <v>0.71579999999999999</v>
      </c>
      <c r="K17" s="291">
        <v>0.81420000000000003</v>
      </c>
      <c r="L17" s="291">
        <v>0.91469999999999996</v>
      </c>
      <c r="M17" s="291">
        <v>1.0174000000000001</v>
      </c>
      <c r="N17" s="291">
        <v>1.1225000000000001</v>
      </c>
      <c r="O17" s="291">
        <v>1.2301</v>
      </c>
      <c r="P17" s="291">
        <v>1.3401000000000001</v>
      </c>
      <c r="Q17" s="291">
        <v>1.4527000000000001</v>
      </c>
      <c r="R17" s="306">
        <f t="shared" ref="R17:R37" si="0">IF(s.v.volume=D17,1,0)</f>
        <v>0</v>
      </c>
      <c r="S17" s="306">
        <f t="shared" ref="S17:S37" si="1">IF(M.D.C.&lt;=M.D.C._6,H17,T17)*R17</f>
        <v>0</v>
      </c>
      <c r="T17" s="306">
        <f t="shared" ref="T17:T37" si="2">IF(M.D.C.&lt;=M.D.C._7,I17,U17)*R17</f>
        <v>0</v>
      </c>
      <c r="U17" s="306">
        <f t="shared" ref="U17:U37" si="3">IF(M.D.C.&lt;=M.D.C._8,J17,V17)*R17</f>
        <v>0</v>
      </c>
      <c r="V17" s="306">
        <f t="shared" ref="V17:V37" si="4">IF(M.D.C.&lt;=M.D.C._9,K17,W17)*R17</f>
        <v>0</v>
      </c>
      <c r="W17" s="306">
        <f t="shared" ref="W17:W37" si="5">IF(M.D.C.&lt;=M.D.C._10,L17,X17)*R17</f>
        <v>0</v>
      </c>
      <c r="X17" s="306">
        <f t="shared" ref="X17:X37" si="6">IF(M.D.C.&lt;=M.D.C._11,M17,Y17)*R17</f>
        <v>0</v>
      </c>
      <c r="Y17" s="306">
        <f t="shared" ref="Y17:Y37" si="7">IF(M.D.C.&lt;=M.D.C._12,N17,Z17)*R17</f>
        <v>0</v>
      </c>
      <c r="Z17" s="306">
        <f t="shared" ref="Z17:Z37" si="8">IF(M.D.C.&lt;=M.D.C._13,O17,AA17)*R17</f>
        <v>0</v>
      </c>
      <c r="AA17" s="306">
        <f t="shared" ref="AA17:AA37" si="9">IF(M.D.C.&lt;=M.D.C._14,P17,AB17)*R17</f>
        <v>0</v>
      </c>
      <c r="AB17" s="306">
        <f t="shared" ref="AB17:AB37" si="10">IF(M.D.C.&lt;=M.D.C._15,Q17,AC17)*R17</f>
        <v>0</v>
      </c>
      <c r="AC17" s="306">
        <f>MIN((S17:AB17))</f>
        <v>0</v>
      </c>
      <c r="AD17" s="239"/>
      <c r="AE17" s="239"/>
      <c r="AF17" s="239"/>
    </row>
    <row r="18" spans="1:32" ht="20.100000000000001" customHeight="1">
      <c r="A18" s="640">
        <v>-5</v>
      </c>
      <c r="B18" s="640"/>
      <c r="C18" s="640"/>
      <c r="D18" s="643">
        <v>0.1241</v>
      </c>
      <c r="E18" s="643"/>
      <c r="F18" s="643"/>
      <c r="G18" s="643"/>
      <c r="H18" s="292">
        <v>0.51419999999999999</v>
      </c>
      <c r="I18" s="292">
        <v>0.63800000000000001</v>
      </c>
      <c r="J18" s="292">
        <v>0.70050000000000001</v>
      </c>
      <c r="K18" s="292">
        <v>0.79869999999999997</v>
      </c>
      <c r="L18" s="292">
        <v>0.89510000000000001</v>
      </c>
      <c r="M18" s="292">
        <v>0.99570000000000003</v>
      </c>
      <c r="N18" s="292">
        <v>1.0985</v>
      </c>
      <c r="O18" s="292">
        <v>1.2038</v>
      </c>
      <c r="P18" s="292">
        <v>1.3113999999999999</v>
      </c>
      <c r="Q18" s="292">
        <v>1.4216</v>
      </c>
      <c r="R18" s="306">
        <f t="shared" si="0"/>
        <v>0</v>
      </c>
      <c r="S18" s="306">
        <f t="shared" si="1"/>
        <v>0</v>
      </c>
      <c r="T18" s="306">
        <f t="shared" si="2"/>
        <v>0</v>
      </c>
      <c r="U18" s="306">
        <f t="shared" si="3"/>
        <v>0</v>
      </c>
      <c r="V18" s="306">
        <f t="shared" si="4"/>
        <v>0</v>
      </c>
      <c r="W18" s="306">
        <f t="shared" si="5"/>
        <v>0</v>
      </c>
      <c r="X18" s="306">
        <f t="shared" si="6"/>
        <v>0</v>
      </c>
      <c r="Y18" s="306">
        <f t="shared" si="7"/>
        <v>0</v>
      </c>
      <c r="Z18" s="306">
        <f t="shared" si="8"/>
        <v>0</v>
      </c>
      <c r="AA18" s="306">
        <f t="shared" si="9"/>
        <v>0</v>
      </c>
      <c r="AB18" s="306">
        <f t="shared" si="10"/>
        <v>0</v>
      </c>
      <c r="AC18" s="306">
        <f t="shared" ref="AC18:AC37" si="11">MIN((S18:AB18))</f>
        <v>0</v>
      </c>
      <c r="AD18" s="239"/>
      <c r="AE18" s="239"/>
      <c r="AF18" s="239"/>
    </row>
    <row r="19" spans="1:32" ht="20.100000000000001" customHeight="1">
      <c r="A19" s="641">
        <v>0</v>
      </c>
      <c r="B19" s="641"/>
      <c r="C19" s="641"/>
      <c r="D19" s="642">
        <v>0.1268</v>
      </c>
      <c r="E19" s="642"/>
      <c r="F19" s="642"/>
      <c r="G19" s="642"/>
      <c r="H19" s="291">
        <v>0.50339999999999996</v>
      </c>
      <c r="I19" s="291">
        <v>0.62509999999999999</v>
      </c>
      <c r="J19" s="291">
        <v>0.68579999999999997</v>
      </c>
      <c r="K19" s="291">
        <v>0.78</v>
      </c>
      <c r="L19" s="291">
        <v>0.87629999999999997</v>
      </c>
      <c r="M19" s="291">
        <v>0.9748</v>
      </c>
      <c r="N19" s="291">
        <v>1.0754999999999999</v>
      </c>
      <c r="O19" s="291">
        <v>1.1785000000000001</v>
      </c>
      <c r="P19" s="291">
        <v>1.2839</v>
      </c>
      <c r="Q19" s="291">
        <v>1.3917999999999999</v>
      </c>
      <c r="R19" s="306">
        <f t="shared" si="0"/>
        <v>0</v>
      </c>
      <c r="S19" s="306">
        <f t="shared" si="1"/>
        <v>0</v>
      </c>
      <c r="T19" s="306">
        <f t="shared" si="2"/>
        <v>0</v>
      </c>
      <c r="U19" s="306">
        <f t="shared" si="3"/>
        <v>0</v>
      </c>
      <c r="V19" s="306">
        <f t="shared" si="4"/>
        <v>0</v>
      </c>
      <c r="W19" s="306">
        <f t="shared" si="5"/>
        <v>0</v>
      </c>
      <c r="X19" s="306">
        <f t="shared" si="6"/>
        <v>0</v>
      </c>
      <c r="Y19" s="306">
        <f t="shared" si="7"/>
        <v>0</v>
      </c>
      <c r="Z19" s="306">
        <f t="shared" si="8"/>
        <v>0</v>
      </c>
      <c r="AA19" s="306">
        <f t="shared" si="9"/>
        <v>0</v>
      </c>
      <c r="AB19" s="306">
        <f t="shared" si="10"/>
        <v>0</v>
      </c>
      <c r="AC19" s="306">
        <f t="shared" si="11"/>
        <v>0</v>
      </c>
      <c r="AD19" s="239"/>
      <c r="AE19" s="239"/>
      <c r="AF19" s="239"/>
    </row>
    <row r="20" spans="1:32" ht="20.100000000000001" customHeight="1">
      <c r="A20" s="640">
        <v>5</v>
      </c>
      <c r="B20" s="640"/>
      <c r="C20" s="640"/>
      <c r="D20" s="643">
        <v>0.12939999999999999</v>
      </c>
      <c r="E20" s="643"/>
      <c r="F20" s="643"/>
      <c r="G20" s="643"/>
      <c r="H20" s="292">
        <v>0.49320000000000003</v>
      </c>
      <c r="I20" s="292">
        <v>0.61280000000000001</v>
      </c>
      <c r="J20" s="292">
        <v>0.67190000000000005</v>
      </c>
      <c r="K20" s="292">
        <v>0.76419999999999999</v>
      </c>
      <c r="L20" s="292">
        <v>0.85860000000000003</v>
      </c>
      <c r="M20" s="292">
        <v>0.95499999999999996</v>
      </c>
      <c r="N20" s="292">
        <v>1.0537000000000001</v>
      </c>
      <c r="O20" s="292">
        <v>1.1546000000000001</v>
      </c>
      <c r="P20" s="292">
        <v>1.2579</v>
      </c>
      <c r="Q20" s="292">
        <v>1.3635999999999999</v>
      </c>
      <c r="R20" s="306">
        <f t="shared" si="0"/>
        <v>0</v>
      </c>
      <c r="S20" s="306">
        <f t="shared" si="1"/>
        <v>0</v>
      </c>
      <c r="T20" s="306">
        <f t="shared" si="2"/>
        <v>0</v>
      </c>
      <c r="U20" s="306">
        <f t="shared" si="3"/>
        <v>0</v>
      </c>
      <c r="V20" s="306">
        <f t="shared" si="4"/>
        <v>0</v>
      </c>
      <c r="W20" s="306">
        <f t="shared" si="5"/>
        <v>0</v>
      </c>
      <c r="X20" s="306">
        <f t="shared" si="6"/>
        <v>0</v>
      </c>
      <c r="Y20" s="306">
        <f t="shared" si="7"/>
        <v>0</v>
      </c>
      <c r="Z20" s="306">
        <f t="shared" si="8"/>
        <v>0</v>
      </c>
      <c r="AA20" s="306">
        <f t="shared" si="9"/>
        <v>0</v>
      </c>
      <c r="AB20" s="306">
        <f t="shared" si="10"/>
        <v>0</v>
      </c>
      <c r="AC20" s="306">
        <f t="shared" si="11"/>
        <v>0</v>
      </c>
      <c r="AD20" s="239"/>
      <c r="AE20" s="239"/>
      <c r="AF20" s="239"/>
    </row>
    <row r="21" spans="1:32" ht="20.100000000000001" customHeight="1">
      <c r="A21" s="641">
        <v>10</v>
      </c>
      <c r="B21" s="641"/>
      <c r="C21" s="641"/>
      <c r="D21" s="642">
        <v>0.13200000000000001</v>
      </c>
      <c r="E21" s="642"/>
      <c r="F21" s="642"/>
      <c r="G21" s="642"/>
      <c r="H21" s="291">
        <v>0.4834</v>
      </c>
      <c r="I21" s="291">
        <v>0.6008</v>
      </c>
      <c r="J21" s="291">
        <v>0.65849999999999997</v>
      </c>
      <c r="K21" s="291">
        <v>0.749</v>
      </c>
      <c r="L21" s="291">
        <v>0.84140000000000004</v>
      </c>
      <c r="M21" s="291">
        <v>0.93600000000000005</v>
      </c>
      <c r="N21" s="291">
        <v>1.0327</v>
      </c>
      <c r="O21" s="291">
        <v>1.1315999999999999</v>
      </c>
      <c r="P21" s="291">
        <v>1.2327999999999999</v>
      </c>
      <c r="Q21" s="291">
        <v>1.2263999999999999</v>
      </c>
      <c r="R21" s="306">
        <f t="shared" si="0"/>
        <v>0</v>
      </c>
      <c r="S21" s="306">
        <f t="shared" si="1"/>
        <v>0</v>
      </c>
      <c r="T21" s="306">
        <f t="shared" si="2"/>
        <v>0</v>
      </c>
      <c r="U21" s="306">
        <f t="shared" si="3"/>
        <v>0</v>
      </c>
      <c r="V21" s="306">
        <f t="shared" si="4"/>
        <v>0</v>
      </c>
      <c r="W21" s="306">
        <f t="shared" si="5"/>
        <v>0</v>
      </c>
      <c r="X21" s="306">
        <f t="shared" si="6"/>
        <v>0</v>
      </c>
      <c r="Y21" s="306">
        <f t="shared" si="7"/>
        <v>0</v>
      </c>
      <c r="Z21" s="306">
        <f t="shared" si="8"/>
        <v>0</v>
      </c>
      <c r="AA21" s="306">
        <f t="shared" si="9"/>
        <v>0</v>
      </c>
      <c r="AB21" s="306">
        <f t="shared" si="10"/>
        <v>0</v>
      </c>
      <c r="AC21" s="306">
        <f t="shared" si="11"/>
        <v>0</v>
      </c>
      <c r="AD21" s="239"/>
      <c r="AE21" s="239"/>
      <c r="AF21" s="239"/>
    </row>
    <row r="22" spans="1:32" ht="20.100000000000001" customHeight="1">
      <c r="A22" s="640">
        <v>15</v>
      </c>
      <c r="B22" s="640"/>
      <c r="C22" s="640"/>
      <c r="D22" s="643">
        <v>0.13469999999999999</v>
      </c>
      <c r="E22" s="643"/>
      <c r="F22" s="643"/>
      <c r="G22" s="643"/>
      <c r="H22" s="292">
        <v>0.47399999999999998</v>
      </c>
      <c r="I22" s="292">
        <v>0.58940000000000003</v>
      </c>
      <c r="J22" s="292">
        <v>0.64570000000000005</v>
      </c>
      <c r="K22" s="292">
        <v>0.73440000000000005</v>
      </c>
      <c r="L22" s="292">
        <v>0.82509999999999994</v>
      </c>
      <c r="M22" s="292">
        <v>0.91779999999999995</v>
      </c>
      <c r="N22" s="292">
        <v>1.0125999999999999</v>
      </c>
      <c r="O22" s="292">
        <v>1.1095999999999999</v>
      </c>
      <c r="P22" s="292">
        <v>1.2089000000000001</v>
      </c>
      <c r="Q22" s="292">
        <v>1.3105</v>
      </c>
      <c r="R22" s="306">
        <f t="shared" si="0"/>
        <v>0</v>
      </c>
      <c r="S22" s="306">
        <f t="shared" si="1"/>
        <v>0</v>
      </c>
      <c r="T22" s="306">
        <f t="shared" si="2"/>
        <v>0</v>
      </c>
      <c r="U22" s="306">
        <f t="shared" si="3"/>
        <v>0</v>
      </c>
      <c r="V22" s="306">
        <f t="shared" si="4"/>
        <v>0</v>
      </c>
      <c r="W22" s="306">
        <f t="shared" si="5"/>
        <v>0</v>
      </c>
      <c r="X22" s="306">
        <f t="shared" si="6"/>
        <v>0</v>
      </c>
      <c r="Y22" s="306">
        <f t="shared" si="7"/>
        <v>0</v>
      </c>
      <c r="Z22" s="306">
        <f t="shared" si="8"/>
        <v>0</v>
      </c>
      <c r="AA22" s="306">
        <f t="shared" si="9"/>
        <v>0</v>
      </c>
      <c r="AB22" s="306">
        <f t="shared" si="10"/>
        <v>0</v>
      </c>
      <c r="AC22" s="306">
        <f t="shared" si="11"/>
        <v>0</v>
      </c>
      <c r="AD22" s="239"/>
      <c r="AE22" s="239"/>
      <c r="AF22" s="239"/>
    </row>
    <row r="23" spans="1:32" ht="20.100000000000001" customHeight="1">
      <c r="A23" s="641">
        <v>20</v>
      </c>
      <c r="B23" s="641"/>
      <c r="C23" s="641"/>
      <c r="D23" s="642">
        <v>0.13730000000000001</v>
      </c>
      <c r="E23" s="642"/>
      <c r="F23" s="642"/>
      <c r="G23" s="642"/>
      <c r="H23" s="291">
        <v>0.46500000000000002</v>
      </c>
      <c r="I23" s="291">
        <v>0.57840000000000003</v>
      </c>
      <c r="J23" s="291">
        <v>0.63349999999999995</v>
      </c>
      <c r="K23" s="291">
        <v>0.72050000000000003</v>
      </c>
      <c r="L23" s="291">
        <v>0.80940000000000001</v>
      </c>
      <c r="M23" s="291">
        <v>0.90039999999999998</v>
      </c>
      <c r="N23" s="291">
        <v>0.99339999999999995</v>
      </c>
      <c r="O23" s="291">
        <v>1.0886</v>
      </c>
      <c r="P23" s="291">
        <v>1.1859</v>
      </c>
      <c r="Q23" s="291">
        <v>1.2856000000000001</v>
      </c>
      <c r="R23" s="306">
        <f t="shared" si="0"/>
        <v>1</v>
      </c>
      <c r="S23" s="306">
        <f t="shared" si="1"/>
        <v>0.57840000000000003</v>
      </c>
      <c r="T23" s="306">
        <f t="shared" si="2"/>
        <v>0.57840000000000003</v>
      </c>
      <c r="U23" s="306">
        <f t="shared" si="3"/>
        <v>0.63349999999999995</v>
      </c>
      <c r="V23" s="306">
        <f t="shared" si="4"/>
        <v>0.72050000000000003</v>
      </c>
      <c r="W23" s="306">
        <f t="shared" si="5"/>
        <v>0.80940000000000001</v>
      </c>
      <c r="X23" s="306">
        <f t="shared" si="6"/>
        <v>0.90039999999999998</v>
      </c>
      <c r="Y23" s="306">
        <f t="shared" si="7"/>
        <v>0.99339999999999995</v>
      </c>
      <c r="Z23" s="306">
        <f t="shared" si="8"/>
        <v>1.0886</v>
      </c>
      <c r="AA23" s="306">
        <f t="shared" si="9"/>
        <v>1.1859</v>
      </c>
      <c r="AB23" s="306">
        <f t="shared" si="10"/>
        <v>1.2856000000000001</v>
      </c>
      <c r="AC23" s="306">
        <f t="shared" si="11"/>
        <v>0.57840000000000003</v>
      </c>
      <c r="AD23" s="239"/>
      <c r="AE23" s="239"/>
      <c r="AF23" s="239"/>
    </row>
    <row r="24" spans="1:32" ht="20.100000000000001" customHeight="1">
      <c r="A24" s="640">
        <v>25</v>
      </c>
      <c r="B24" s="640"/>
      <c r="C24" s="640"/>
      <c r="D24" s="643">
        <v>0.1399</v>
      </c>
      <c r="E24" s="643"/>
      <c r="F24" s="643"/>
      <c r="G24" s="643"/>
      <c r="H24" s="292">
        <v>0.45639999999999997</v>
      </c>
      <c r="I24" s="292">
        <v>0.56779999999999997</v>
      </c>
      <c r="J24" s="292">
        <v>0.62170000000000003</v>
      </c>
      <c r="K24" s="292">
        <v>0.70709999999999995</v>
      </c>
      <c r="L24" s="292">
        <v>0.7944</v>
      </c>
      <c r="M24" s="292">
        <v>0.88370000000000004</v>
      </c>
      <c r="N24" s="292">
        <v>0.97499999999999998</v>
      </c>
      <c r="O24" s="292">
        <v>1.0684</v>
      </c>
      <c r="P24" s="292">
        <v>1.1639999999999999</v>
      </c>
      <c r="Q24" s="292">
        <v>1.2618</v>
      </c>
      <c r="R24" s="306">
        <f t="shared" si="0"/>
        <v>0</v>
      </c>
      <c r="S24" s="306">
        <f t="shared" si="1"/>
        <v>0</v>
      </c>
      <c r="T24" s="306">
        <f t="shared" si="2"/>
        <v>0</v>
      </c>
      <c r="U24" s="306">
        <f t="shared" si="3"/>
        <v>0</v>
      </c>
      <c r="V24" s="306">
        <f t="shared" si="4"/>
        <v>0</v>
      </c>
      <c r="W24" s="306">
        <f t="shared" si="5"/>
        <v>0</v>
      </c>
      <c r="X24" s="306">
        <f t="shared" si="6"/>
        <v>0</v>
      </c>
      <c r="Y24" s="306">
        <f t="shared" si="7"/>
        <v>0</v>
      </c>
      <c r="Z24" s="306">
        <f t="shared" si="8"/>
        <v>0</v>
      </c>
      <c r="AA24" s="306">
        <f t="shared" si="9"/>
        <v>0</v>
      </c>
      <c r="AB24" s="306">
        <f t="shared" si="10"/>
        <v>0</v>
      </c>
      <c r="AC24" s="306">
        <f t="shared" si="11"/>
        <v>0</v>
      </c>
      <c r="AD24" s="239"/>
      <c r="AE24" s="239"/>
      <c r="AF24" s="239"/>
    </row>
    <row r="25" spans="1:32" ht="20.100000000000001" customHeight="1">
      <c r="A25" s="641">
        <v>30</v>
      </c>
      <c r="B25" s="641"/>
      <c r="C25" s="641"/>
      <c r="D25" s="642">
        <v>0.14249999999999999</v>
      </c>
      <c r="E25" s="642"/>
      <c r="F25" s="642"/>
      <c r="G25" s="642"/>
      <c r="H25" s="291">
        <v>0.4481</v>
      </c>
      <c r="I25" s="291">
        <v>0.5575</v>
      </c>
      <c r="J25" s="291">
        <v>0.61040000000000005</v>
      </c>
      <c r="K25" s="291">
        <v>0.69430000000000003</v>
      </c>
      <c r="L25" s="291">
        <v>0.78</v>
      </c>
      <c r="M25" s="291">
        <v>0.86760000000000004</v>
      </c>
      <c r="N25" s="291">
        <v>0.95730000000000004</v>
      </c>
      <c r="O25" s="291">
        <v>1.0489999999999999</v>
      </c>
      <c r="P25" s="291">
        <v>1.1428</v>
      </c>
      <c r="Q25" s="291">
        <v>1.2387999999999999</v>
      </c>
      <c r="R25" s="306">
        <f t="shared" si="0"/>
        <v>0</v>
      </c>
      <c r="S25" s="306">
        <f t="shared" si="1"/>
        <v>0</v>
      </c>
      <c r="T25" s="306">
        <f t="shared" si="2"/>
        <v>0</v>
      </c>
      <c r="U25" s="306">
        <f t="shared" si="3"/>
        <v>0</v>
      </c>
      <c r="V25" s="306">
        <f t="shared" si="4"/>
        <v>0</v>
      </c>
      <c r="W25" s="306">
        <f t="shared" si="5"/>
        <v>0</v>
      </c>
      <c r="X25" s="306">
        <f t="shared" si="6"/>
        <v>0</v>
      </c>
      <c r="Y25" s="306">
        <f t="shared" si="7"/>
        <v>0</v>
      </c>
      <c r="Z25" s="306">
        <f t="shared" si="8"/>
        <v>0</v>
      </c>
      <c r="AA25" s="306">
        <f t="shared" si="9"/>
        <v>0</v>
      </c>
      <c r="AB25" s="306">
        <f t="shared" si="10"/>
        <v>0</v>
      </c>
      <c r="AC25" s="306">
        <f t="shared" si="11"/>
        <v>0</v>
      </c>
      <c r="AD25" s="239"/>
      <c r="AE25" s="239"/>
      <c r="AF25" s="239"/>
    </row>
    <row r="26" spans="1:32" ht="20.100000000000001" customHeight="1">
      <c r="A26" s="640">
        <v>35</v>
      </c>
      <c r="B26" s="640"/>
      <c r="C26" s="640"/>
      <c r="D26" s="643">
        <v>0.14499999999999999</v>
      </c>
      <c r="E26" s="643"/>
      <c r="F26" s="643"/>
      <c r="G26" s="643"/>
      <c r="H26" s="292">
        <v>0.44009999999999999</v>
      </c>
      <c r="I26" s="292">
        <v>0.54759999999999998</v>
      </c>
      <c r="J26" s="292">
        <v>0.59960000000000002</v>
      </c>
      <c r="K26" s="292">
        <v>0.68189999999999995</v>
      </c>
      <c r="L26" s="292">
        <v>0.7661</v>
      </c>
      <c r="M26" s="292">
        <v>0.85219999999999996</v>
      </c>
      <c r="N26" s="292">
        <v>0.94020000000000004</v>
      </c>
      <c r="O26" s="292">
        <v>1.0303</v>
      </c>
      <c r="P26" s="292">
        <v>1.1224000000000001</v>
      </c>
      <c r="Q26" s="292">
        <v>1.2168000000000001</v>
      </c>
      <c r="R26" s="306">
        <f t="shared" si="0"/>
        <v>0</v>
      </c>
      <c r="S26" s="306">
        <f t="shared" si="1"/>
        <v>0</v>
      </c>
      <c r="T26" s="306">
        <f t="shared" si="2"/>
        <v>0</v>
      </c>
      <c r="U26" s="306">
        <f t="shared" si="3"/>
        <v>0</v>
      </c>
      <c r="V26" s="306">
        <f t="shared" si="4"/>
        <v>0</v>
      </c>
      <c r="W26" s="306">
        <f t="shared" si="5"/>
        <v>0</v>
      </c>
      <c r="X26" s="306">
        <f t="shared" si="6"/>
        <v>0</v>
      </c>
      <c r="Y26" s="306">
        <f t="shared" si="7"/>
        <v>0</v>
      </c>
      <c r="Z26" s="306">
        <f t="shared" si="8"/>
        <v>0</v>
      </c>
      <c r="AA26" s="306">
        <f t="shared" si="9"/>
        <v>0</v>
      </c>
      <c r="AB26" s="306">
        <f t="shared" si="10"/>
        <v>0</v>
      </c>
      <c r="AC26" s="306">
        <f t="shared" si="11"/>
        <v>0</v>
      </c>
      <c r="AD26" s="239"/>
      <c r="AE26" s="239"/>
      <c r="AF26" s="239"/>
    </row>
    <row r="27" spans="1:32" ht="20.100000000000001" customHeight="1">
      <c r="A27" s="641">
        <v>40</v>
      </c>
      <c r="B27" s="641"/>
      <c r="C27" s="641"/>
      <c r="D27" s="642">
        <v>0.14760000000000001</v>
      </c>
      <c r="E27" s="642"/>
      <c r="F27" s="642"/>
      <c r="G27" s="642"/>
      <c r="H27" s="291">
        <v>0.43240000000000001</v>
      </c>
      <c r="I27" s="291">
        <v>0.53810000000000002</v>
      </c>
      <c r="J27" s="291">
        <v>0.58909999999999996</v>
      </c>
      <c r="K27" s="291">
        <v>0.67010000000000003</v>
      </c>
      <c r="L27" s="291">
        <v>0.75280000000000002</v>
      </c>
      <c r="M27" s="291">
        <v>0.83740000000000003</v>
      </c>
      <c r="N27" s="291">
        <v>0.92300000000000004</v>
      </c>
      <c r="O27" s="291">
        <v>1.0124</v>
      </c>
      <c r="P27" s="291">
        <v>1.1029</v>
      </c>
      <c r="Q27" s="291">
        <v>1.1956</v>
      </c>
      <c r="R27" s="306">
        <f t="shared" si="0"/>
        <v>0</v>
      </c>
      <c r="S27" s="306">
        <f t="shared" si="1"/>
        <v>0</v>
      </c>
      <c r="T27" s="306">
        <f t="shared" si="2"/>
        <v>0</v>
      </c>
      <c r="U27" s="306">
        <f t="shared" si="3"/>
        <v>0</v>
      </c>
      <c r="V27" s="306">
        <f t="shared" si="4"/>
        <v>0</v>
      </c>
      <c r="W27" s="306">
        <f t="shared" si="5"/>
        <v>0</v>
      </c>
      <c r="X27" s="306">
        <f t="shared" si="6"/>
        <v>0</v>
      </c>
      <c r="Y27" s="306">
        <f t="shared" si="7"/>
        <v>0</v>
      </c>
      <c r="Z27" s="306">
        <f t="shared" si="8"/>
        <v>0</v>
      </c>
      <c r="AA27" s="306">
        <f t="shared" si="9"/>
        <v>0</v>
      </c>
      <c r="AB27" s="306">
        <f t="shared" si="10"/>
        <v>0</v>
      </c>
      <c r="AC27" s="306">
        <f t="shared" si="11"/>
        <v>0</v>
      </c>
      <c r="AD27" s="239"/>
      <c r="AE27" s="239"/>
      <c r="AF27" s="239"/>
    </row>
    <row r="28" spans="1:32" ht="20.100000000000001" customHeight="1">
      <c r="A28" s="640">
        <v>45</v>
      </c>
      <c r="B28" s="640"/>
      <c r="C28" s="640"/>
      <c r="D28" s="643">
        <v>0.1502</v>
      </c>
      <c r="E28" s="643"/>
      <c r="F28" s="643"/>
      <c r="G28" s="643"/>
      <c r="H28" s="292">
        <v>0.42499999999999999</v>
      </c>
      <c r="I28" s="292">
        <v>0.52890000000000004</v>
      </c>
      <c r="J28" s="292">
        <v>0.57899999999999996</v>
      </c>
      <c r="K28" s="292">
        <v>0.65859999999999996</v>
      </c>
      <c r="L28" s="292">
        <v>0.7399</v>
      </c>
      <c r="M28" s="292">
        <v>0.82299999999999995</v>
      </c>
      <c r="N28" s="292">
        <v>0.90800000000000003</v>
      </c>
      <c r="O28" s="292">
        <v>0.995</v>
      </c>
      <c r="P28" s="292">
        <v>1.0840000000000001</v>
      </c>
      <c r="Q28" s="292">
        <v>1.1751</v>
      </c>
      <c r="R28" s="306">
        <f t="shared" si="0"/>
        <v>0</v>
      </c>
      <c r="S28" s="306">
        <f t="shared" si="1"/>
        <v>0</v>
      </c>
      <c r="T28" s="306">
        <f t="shared" si="2"/>
        <v>0</v>
      </c>
      <c r="U28" s="306">
        <f t="shared" si="3"/>
        <v>0</v>
      </c>
      <c r="V28" s="306">
        <f t="shared" si="4"/>
        <v>0</v>
      </c>
      <c r="W28" s="306">
        <f t="shared" si="5"/>
        <v>0</v>
      </c>
      <c r="X28" s="306">
        <f t="shared" si="6"/>
        <v>0</v>
      </c>
      <c r="Y28" s="306">
        <f t="shared" si="7"/>
        <v>0</v>
      </c>
      <c r="Z28" s="306">
        <f t="shared" si="8"/>
        <v>0</v>
      </c>
      <c r="AA28" s="306">
        <f t="shared" si="9"/>
        <v>0</v>
      </c>
      <c r="AB28" s="306">
        <f t="shared" si="10"/>
        <v>0</v>
      </c>
      <c r="AC28" s="306">
        <f t="shared" si="11"/>
        <v>0</v>
      </c>
      <c r="AD28" s="239"/>
      <c r="AE28" s="239"/>
      <c r="AF28" s="239"/>
    </row>
    <row r="29" spans="1:32" ht="20.100000000000001" customHeight="1">
      <c r="A29" s="641">
        <v>50</v>
      </c>
      <c r="B29" s="641"/>
      <c r="C29" s="641"/>
      <c r="D29" s="642">
        <v>0.1527</v>
      </c>
      <c r="E29" s="642"/>
      <c r="F29" s="642"/>
      <c r="G29" s="642"/>
      <c r="H29" s="291">
        <v>0.41799999999999998</v>
      </c>
      <c r="I29" s="291">
        <v>0.52</v>
      </c>
      <c r="J29" s="291">
        <v>0.56940000000000002</v>
      </c>
      <c r="K29" s="291">
        <v>0.64759999999999995</v>
      </c>
      <c r="L29" s="291">
        <v>0.72760000000000002</v>
      </c>
      <c r="M29" s="291">
        <v>0.80930000000000002</v>
      </c>
      <c r="N29" s="291">
        <v>0.89290000000000003</v>
      </c>
      <c r="O29" s="291">
        <v>0.97840000000000005</v>
      </c>
      <c r="P29" s="291">
        <v>1.0660000000000001</v>
      </c>
      <c r="Q29" s="291">
        <v>1.1555</v>
      </c>
      <c r="R29" s="306">
        <f t="shared" si="0"/>
        <v>0</v>
      </c>
      <c r="S29" s="306">
        <f t="shared" si="1"/>
        <v>0</v>
      </c>
      <c r="T29" s="306">
        <f t="shared" si="2"/>
        <v>0</v>
      </c>
      <c r="U29" s="306">
        <f t="shared" si="3"/>
        <v>0</v>
      </c>
      <c r="V29" s="306">
        <f t="shared" si="4"/>
        <v>0</v>
      </c>
      <c r="W29" s="306">
        <f t="shared" si="5"/>
        <v>0</v>
      </c>
      <c r="X29" s="306">
        <f t="shared" si="6"/>
        <v>0</v>
      </c>
      <c r="Y29" s="306">
        <f t="shared" si="7"/>
        <v>0</v>
      </c>
      <c r="Z29" s="306">
        <f t="shared" si="8"/>
        <v>0</v>
      </c>
      <c r="AA29" s="306">
        <f t="shared" si="9"/>
        <v>0</v>
      </c>
      <c r="AB29" s="306">
        <f t="shared" si="10"/>
        <v>0</v>
      </c>
      <c r="AC29" s="306">
        <f t="shared" si="11"/>
        <v>0</v>
      </c>
      <c r="AD29" s="239"/>
      <c r="AE29" s="239"/>
      <c r="AF29" s="239"/>
    </row>
    <row r="30" spans="1:32" ht="20.100000000000001" customHeight="1">
      <c r="A30" s="640">
        <v>55</v>
      </c>
      <c r="B30" s="640"/>
      <c r="C30" s="640"/>
      <c r="D30" s="643">
        <v>0.15529999999999999</v>
      </c>
      <c r="E30" s="643"/>
      <c r="F30" s="643"/>
      <c r="G30" s="643"/>
      <c r="H30" s="292">
        <v>0.41110000000000002</v>
      </c>
      <c r="I30" s="292">
        <v>0.51139999999999997</v>
      </c>
      <c r="J30" s="292">
        <v>0.56000000000000005</v>
      </c>
      <c r="K30" s="292">
        <v>0.63690000000000002</v>
      </c>
      <c r="L30" s="292">
        <v>0.71560000000000001</v>
      </c>
      <c r="M30" s="292">
        <v>0.79600000000000004</v>
      </c>
      <c r="N30" s="292">
        <v>0.87819999999999998</v>
      </c>
      <c r="O30" s="292">
        <v>0.96230000000000004</v>
      </c>
      <c r="P30" s="292">
        <v>1.0484</v>
      </c>
      <c r="Q30" s="292">
        <v>1.1365000000000001</v>
      </c>
      <c r="R30" s="306">
        <f t="shared" si="0"/>
        <v>0</v>
      </c>
      <c r="S30" s="306">
        <f t="shared" si="1"/>
        <v>0</v>
      </c>
      <c r="T30" s="306">
        <f t="shared" si="2"/>
        <v>0</v>
      </c>
      <c r="U30" s="306">
        <f t="shared" si="3"/>
        <v>0</v>
      </c>
      <c r="V30" s="306">
        <f t="shared" si="4"/>
        <v>0</v>
      </c>
      <c r="W30" s="306">
        <f t="shared" si="5"/>
        <v>0</v>
      </c>
      <c r="X30" s="306">
        <f t="shared" si="6"/>
        <v>0</v>
      </c>
      <c r="Y30" s="306">
        <f t="shared" si="7"/>
        <v>0</v>
      </c>
      <c r="Z30" s="306">
        <f t="shared" si="8"/>
        <v>0</v>
      </c>
      <c r="AA30" s="306">
        <f t="shared" si="9"/>
        <v>0</v>
      </c>
      <c r="AB30" s="306">
        <f t="shared" si="10"/>
        <v>0</v>
      </c>
      <c r="AC30" s="306">
        <f t="shared" si="11"/>
        <v>0</v>
      </c>
      <c r="AD30" s="239"/>
      <c r="AE30" s="239"/>
      <c r="AF30" s="239"/>
    </row>
    <row r="31" spans="1:32" ht="20.100000000000001" customHeight="1">
      <c r="A31" s="641">
        <v>60</v>
      </c>
      <c r="B31" s="641"/>
      <c r="C31" s="641"/>
      <c r="D31" s="642">
        <v>0.1578</v>
      </c>
      <c r="E31" s="642"/>
      <c r="F31" s="642"/>
      <c r="G31" s="642"/>
      <c r="H31" s="291">
        <v>0.40450000000000003</v>
      </c>
      <c r="I31" s="291">
        <v>0.50309999999999999</v>
      </c>
      <c r="J31" s="291">
        <v>0.55100000000000005</v>
      </c>
      <c r="K31" s="291">
        <v>0.62670000000000003</v>
      </c>
      <c r="L31" s="291">
        <v>0.70409999999999995</v>
      </c>
      <c r="M31" s="291">
        <v>0.78320000000000001</v>
      </c>
      <c r="N31" s="291">
        <v>0.86409999999999998</v>
      </c>
      <c r="O31" s="291">
        <v>0.94689999999999996</v>
      </c>
      <c r="P31" s="291">
        <v>1.0316000000000001</v>
      </c>
      <c r="Q31" s="291">
        <v>1.1183000000000001</v>
      </c>
      <c r="R31" s="306">
        <f t="shared" si="0"/>
        <v>0</v>
      </c>
      <c r="S31" s="306">
        <f t="shared" si="1"/>
        <v>0</v>
      </c>
      <c r="T31" s="306">
        <f t="shared" si="2"/>
        <v>0</v>
      </c>
      <c r="U31" s="306">
        <f t="shared" si="3"/>
        <v>0</v>
      </c>
      <c r="V31" s="306">
        <f t="shared" si="4"/>
        <v>0</v>
      </c>
      <c r="W31" s="306">
        <f t="shared" si="5"/>
        <v>0</v>
      </c>
      <c r="X31" s="306">
        <f t="shared" si="6"/>
        <v>0</v>
      </c>
      <c r="Y31" s="306">
        <f t="shared" si="7"/>
        <v>0</v>
      </c>
      <c r="Z31" s="306">
        <f t="shared" si="8"/>
        <v>0</v>
      </c>
      <c r="AA31" s="306">
        <f t="shared" si="9"/>
        <v>0</v>
      </c>
      <c r="AB31" s="306">
        <f t="shared" si="10"/>
        <v>0</v>
      </c>
      <c r="AC31" s="306">
        <f t="shared" si="11"/>
        <v>0</v>
      </c>
      <c r="AD31" s="239"/>
      <c r="AE31" s="239"/>
      <c r="AF31" s="239"/>
    </row>
    <row r="32" spans="1:32" ht="20.100000000000001" customHeight="1">
      <c r="A32" s="640">
        <v>65</v>
      </c>
      <c r="B32" s="640"/>
      <c r="C32" s="640"/>
      <c r="D32" s="643">
        <v>0.16039999999999999</v>
      </c>
      <c r="E32" s="643"/>
      <c r="F32" s="643"/>
      <c r="G32" s="643"/>
      <c r="H32" s="292">
        <v>0.39800000000000002</v>
      </c>
      <c r="I32" s="292">
        <v>0.495</v>
      </c>
      <c r="J32" s="292">
        <v>0.5423</v>
      </c>
      <c r="K32" s="292">
        <v>0.61670000000000003</v>
      </c>
      <c r="L32" s="292">
        <v>0.69289999999999996</v>
      </c>
      <c r="M32" s="292">
        <v>0.77070000000000005</v>
      </c>
      <c r="N32" s="292">
        <v>0.85040000000000004</v>
      </c>
      <c r="O32" s="292">
        <v>0.93179999999999996</v>
      </c>
      <c r="P32" s="292">
        <v>1.0152000000000001</v>
      </c>
      <c r="Q32" s="292">
        <v>1.1005</v>
      </c>
      <c r="R32" s="306">
        <f t="shared" si="0"/>
        <v>0</v>
      </c>
      <c r="S32" s="306">
        <f t="shared" si="1"/>
        <v>0</v>
      </c>
      <c r="T32" s="306">
        <f t="shared" si="2"/>
        <v>0</v>
      </c>
      <c r="U32" s="306">
        <f t="shared" si="3"/>
        <v>0</v>
      </c>
      <c r="V32" s="306">
        <f t="shared" si="4"/>
        <v>0</v>
      </c>
      <c r="W32" s="306">
        <f t="shared" si="5"/>
        <v>0</v>
      </c>
      <c r="X32" s="306">
        <f t="shared" si="6"/>
        <v>0</v>
      </c>
      <c r="Y32" s="306">
        <f t="shared" si="7"/>
        <v>0</v>
      </c>
      <c r="Z32" s="306">
        <f t="shared" si="8"/>
        <v>0</v>
      </c>
      <c r="AA32" s="306">
        <f t="shared" si="9"/>
        <v>0</v>
      </c>
      <c r="AB32" s="306">
        <f t="shared" si="10"/>
        <v>0</v>
      </c>
      <c r="AC32" s="306">
        <f t="shared" si="11"/>
        <v>0</v>
      </c>
      <c r="AD32" s="239"/>
      <c r="AE32" s="239"/>
      <c r="AF32" s="239"/>
    </row>
    <row r="33" spans="1:32" ht="20.100000000000001" customHeight="1">
      <c r="A33" s="641">
        <v>70</v>
      </c>
      <c r="B33" s="641"/>
      <c r="C33" s="641"/>
      <c r="D33" s="642">
        <v>0.16289999999999999</v>
      </c>
      <c r="E33" s="642"/>
      <c r="F33" s="642"/>
      <c r="G33" s="642"/>
      <c r="H33" s="291">
        <v>0.39190000000000003</v>
      </c>
      <c r="I33" s="291">
        <v>0.48720000000000002</v>
      </c>
      <c r="J33" s="291">
        <v>0.53380000000000005</v>
      </c>
      <c r="K33" s="291">
        <v>0.60719999999999996</v>
      </c>
      <c r="L33" s="291">
        <v>0.68210000000000004</v>
      </c>
      <c r="M33" s="291">
        <v>0.75880000000000003</v>
      </c>
      <c r="N33" s="291">
        <v>0.83709999999999996</v>
      </c>
      <c r="O33" s="291">
        <v>0.9173</v>
      </c>
      <c r="P33" s="291">
        <v>0.99939999999999996</v>
      </c>
      <c r="Q33" s="291">
        <v>1.0833999999999999</v>
      </c>
      <c r="R33" s="306">
        <f t="shared" si="0"/>
        <v>0</v>
      </c>
      <c r="S33" s="306">
        <f t="shared" si="1"/>
        <v>0</v>
      </c>
      <c r="T33" s="306">
        <f t="shared" si="2"/>
        <v>0</v>
      </c>
      <c r="U33" s="306">
        <f t="shared" si="3"/>
        <v>0</v>
      </c>
      <c r="V33" s="306">
        <f t="shared" si="4"/>
        <v>0</v>
      </c>
      <c r="W33" s="306">
        <f t="shared" si="5"/>
        <v>0</v>
      </c>
      <c r="X33" s="306">
        <f t="shared" si="6"/>
        <v>0</v>
      </c>
      <c r="Y33" s="306">
        <f t="shared" si="7"/>
        <v>0</v>
      </c>
      <c r="Z33" s="306">
        <f t="shared" si="8"/>
        <v>0</v>
      </c>
      <c r="AA33" s="306">
        <f t="shared" si="9"/>
        <v>0</v>
      </c>
      <c r="AB33" s="306">
        <f t="shared" si="10"/>
        <v>0</v>
      </c>
      <c r="AC33" s="306">
        <f t="shared" si="11"/>
        <v>0</v>
      </c>
      <c r="AD33" s="239"/>
      <c r="AE33" s="239"/>
      <c r="AF33" s="239"/>
    </row>
    <row r="34" spans="1:32" ht="20.100000000000001" customHeight="1">
      <c r="A34" s="640">
        <v>75</v>
      </c>
      <c r="B34" s="640"/>
      <c r="C34" s="640"/>
      <c r="D34" s="643">
        <v>0.16539999999999999</v>
      </c>
      <c r="E34" s="643"/>
      <c r="F34" s="643"/>
      <c r="G34" s="643"/>
      <c r="H34" s="292">
        <v>0.38590000000000002</v>
      </c>
      <c r="I34" s="292">
        <v>0.47970000000000002</v>
      </c>
      <c r="J34" s="292">
        <v>0.52569999999999995</v>
      </c>
      <c r="K34" s="292">
        <v>0.59789999999999999</v>
      </c>
      <c r="L34" s="292">
        <v>0.67169999999999996</v>
      </c>
      <c r="M34" s="292">
        <v>0.74709999999999999</v>
      </c>
      <c r="N34" s="292">
        <v>0.82430000000000003</v>
      </c>
      <c r="O34" s="292">
        <v>0.90329999999999999</v>
      </c>
      <c r="P34" s="292">
        <v>0.98409999999999997</v>
      </c>
      <c r="Q34" s="292">
        <v>1.0668</v>
      </c>
      <c r="R34" s="306">
        <f t="shared" si="0"/>
        <v>0</v>
      </c>
      <c r="S34" s="306">
        <f t="shared" si="1"/>
        <v>0</v>
      </c>
      <c r="T34" s="306">
        <f t="shared" si="2"/>
        <v>0</v>
      </c>
      <c r="U34" s="306">
        <f t="shared" si="3"/>
        <v>0</v>
      </c>
      <c r="V34" s="306">
        <f t="shared" si="4"/>
        <v>0</v>
      </c>
      <c r="W34" s="306">
        <f t="shared" si="5"/>
        <v>0</v>
      </c>
      <c r="X34" s="306">
        <f t="shared" si="6"/>
        <v>0</v>
      </c>
      <c r="Y34" s="306">
        <f t="shared" si="7"/>
        <v>0</v>
      </c>
      <c r="Z34" s="306">
        <f t="shared" si="8"/>
        <v>0</v>
      </c>
      <c r="AA34" s="306">
        <f t="shared" si="9"/>
        <v>0</v>
      </c>
      <c r="AB34" s="306">
        <f t="shared" si="10"/>
        <v>0</v>
      </c>
      <c r="AC34" s="306">
        <f t="shared" si="11"/>
        <v>0</v>
      </c>
      <c r="AD34" s="239"/>
      <c r="AE34" s="239"/>
      <c r="AF34" s="239"/>
    </row>
    <row r="35" spans="1:32" ht="20.100000000000001" customHeight="1">
      <c r="A35" s="641">
        <v>80</v>
      </c>
      <c r="B35" s="641"/>
      <c r="C35" s="641"/>
      <c r="D35" s="642">
        <v>0.16789999999999999</v>
      </c>
      <c r="E35" s="642"/>
      <c r="F35" s="642"/>
      <c r="G35" s="642"/>
      <c r="H35" s="291">
        <v>0.38009999999999999</v>
      </c>
      <c r="I35" s="291">
        <v>0.47239999999999999</v>
      </c>
      <c r="J35" s="291">
        <v>0.51780000000000004</v>
      </c>
      <c r="K35" s="291">
        <v>5.8900000000000001E-2</v>
      </c>
      <c r="L35" s="291">
        <v>0.66169999999999995</v>
      </c>
      <c r="M35" s="291">
        <v>0.73599999999999999</v>
      </c>
      <c r="N35" s="291">
        <v>0.81200000000000006</v>
      </c>
      <c r="O35" s="291">
        <v>0.88980000000000004</v>
      </c>
      <c r="P35" s="291">
        <v>0.96940000000000004</v>
      </c>
      <c r="Q35" s="291">
        <v>1.0508999999999999</v>
      </c>
      <c r="R35" s="306">
        <f t="shared" si="0"/>
        <v>0</v>
      </c>
      <c r="S35" s="306">
        <f t="shared" si="1"/>
        <v>0</v>
      </c>
      <c r="T35" s="306">
        <f t="shared" si="2"/>
        <v>0</v>
      </c>
      <c r="U35" s="306">
        <f t="shared" si="3"/>
        <v>0</v>
      </c>
      <c r="V35" s="306">
        <f t="shared" si="4"/>
        <v>0</v>
      </c>
      <c r="W35" s="306">
        <f t="shared" si="5"/>
        <v>0</v>
      </c>
      <c r="X35" s="306">
        <f t="shared" si="6"/>
        <v>0</v>
      </c>
      <c r="Y35" s="306">
        <f t="shared" si="7"/>
        <v>0</v>
      </c>
      <c r="Z35" s="306">
        <f t="shared" si="8"/>
        <v>0</v>
      </c>
      <c r="AA35" s="306">
        <f t="shared" si="9"/>
        <v>0</v>
      </c>
      <c r="AB35" s="306">
        <f t="shared" si="10"/>
        <v>0</v>
      </c>
      <c r="AC35" s="306">
        <f t="shared" si="11"/>
        <v>0</v>
      </c>
      <c r="AD35" s="239"/>
      <c r="AE35" s="239"/>
      <c r="AF35" s="239"/>
    </row>
    <row r="36" spans="1:32" ht="20.100000000000001" customHeight="1">
      <c r="A36" s="640">
        <v>85</v>
      </c>
      <c r="B36" s="640"/>
      <c r="C36" s="640"/>
      <c r="D36" s="643">
        <v>0.1704</v>
      </c>
      <c r="E36" s="643"/>
      <c r="F36" s="643"/>
      <c r="G36" s="643"/>
      <c r="H36" s="292">
        <v>0.3745</v>
      </c>
      <c r="I36" s="292">
        <v>0.4652</v>
      </c>
      <c r="J36" s="292">
        <v>0.51019999999999999</v>
      </c>
      <c r="K36" s="292">
        <v>0.58030000000000004</v>
      </c>
      <c r="L36" s="292">
        <v>0.65190000000000003</v>
      </c>
      <c r="M36" s="292">
        <v>0.72509999999999997</v>
      </c>
      <c r="N36" s="292">
        <v>0.8</v>
      </c>
      <c r="O36" s="292">
        <v>0.87670000000000003</v>
      </c>
      <c r="P36" s="292">
        <v>0.95509999999999995</v>
      </c>
      <c r="Q36" s="292">
        <v>1.0354000000000001</v>
      </c>
      <c r="R36" s="306">
        <f t="shared" si="0"/>
        <v>0</v>
      </c>
      <c r="S36" s="306">
        <f t="shared" si="1"/>
        <v>0</v>
      </c>
      <c r="T36" s="306">
        <f t="shared" si="2"/>
        <v>0</v>
      </c>
      <c r="U36" s="306">
        <f t="shared" si="3"/>
        <v>0</v>
      </c>
      <c r="V36" s="306">
        <f t="shared" si="4"/>
        <v>0</v>
      </c>
      <c r="W36" s="306">
        <f t="shared" si="5"/>
        <v>0</v>
      </c>
      <c r="X36" s="306">
        <f t="shared" si="6"/>
        <v>0</v>
      </c>
      <c r="Y36" s="306">
        <f t="shared" si="7"/>
        <v>0</v>
      </c>
      <c r="Z36" s="306">
        <f t="shared" si="8"/>
        <v>0</v>
      </c>
      <c r="AA36" s="306">
        <f t="shared" si="9"/>
        <v>0</v>
      </c>
      <c r="AB36" s="306">
        <f t="shared" si="10"/>
        <v>0</v>
      </c>
      <c r="AC36" s="306">
        <f t="shared" si="11"/>
        <v>0</v>
      </c>
      <c r="AD36" s="239"/>
      <c r="AE36" s="239"/>
      <c r="AF36" s="239"/>
    </row>
    <row r="37" spans="1:32" ht="20.100000000000001" customHeight="1">
      <c r="A37" s="641">
        <v>90</v>
      </c>
      <c r="B37" s="641"/>
      <c r="C37" s="641"/>
      <c r="D37" s="642">
        <v>0.17299999999999999</v>
      </c>
      <c r="E37" s="642"/>
      <c r="F37" s="642"/>
      <c r="G37" s="642"/>
      <c r="H37" s="291">
        <v>0.36899999999999999</v>
      </c>
      <c r="I37" s="291">
        <v>0.45839999999999997</v>
      </c>
      <c r="J37" s="291">
        <v>0.50270000000000004</v>
      </c>
      <c r="K37" s="291">
        <v>0.57169999999999999</v>
      </c>
      <c r="L37" s="291">
        <v>0.64229999999999998</v>
      </c>
      <c r="M37" s="291">
        <v>0.71450000000000002</v>
      </c>
      <c r="N37" s="291">
        <v>0.7883</v>
      </c>
      <c r="O37" s="291">
        <v>0.86380000000000001</v>
      </c>
      <c r="P37" s="291">
        <v>0.94110000000000005</v>
      </c>
      <c r="Q37" s="291">
        <v>1.0202</v>
      </c>
      <c r="R37" s="306">
        <f t="shared" si="0"/>
        <v>0</v>
      </c>
      <c r="S37" s="306">
        <f t="shared" si="1"/>
        <v>0</v>
      </c>
      <c r="T37" s="306">
        <f t="shared" si="2"/>
        <v>0</v>
      </c>
      <c r="U37" s="306">
        <f t="shared" si="3"/>
        <v>0</v>
      </c>
      <c r="V37" s="306">
        <f t="shared" si="4"/>
        <v>0</v>
      </c>
      <c r="W37" s="306">
        <f t="shared" si="5"/>
        <v>0</v>
      </c>
      <c r="X37" s="306">
        <f t="shared" si="6"/>
        <v>0</v>
      </c>
      <c r="Y37" s="306">
        <f t="shared" si="7"/>
        <v>0</v>
      </c>
      <c r="Z37" s="306">
        <f t="shared" si="8"/>
        <v>0</v>
      </c>
      <c r="AA37" s="306">
        <f t="shared" si="9"/>
        <v>0</v>
      </c>
      <c r="AB37" s="306">
        <f t="shared" si="10"/>
        <v>0</v>
      </c>
      <c r="AC37" s="306">
        <f t="shared" si="11"/>
        <v>0</v>
      </c>
      <c r="AD37" s="239"/>
      <c r="AE37" s="239"/>
      <c r="AF37" s="239"/>
    </row>
    <row r="38" spans="1:32" ht="15" customHeight="1">
      <c r="A38" s="17"/>
      <c r="B38" s="17"/>
      <c r="C38" s="17"/>
      <c r="D38" s="17"/>
      <c r="E38" s="17"/>
      <c r="F38" s="17"/>
      <c r="G38" s="17"/>
      <c r="H38" s="17"/>
      <c r="I38" s="17"/>
      <c r="J38" s="17"/>
      <c r="K38" s="17"/>
      <c r="L38" s="17"/>
      <c r="M38" s="17"/>
      <c r="N38" s="17"/>
      <c r="O38" s="17"/>
      <c r="P38" s="17"/>
      <c r="Q38" s="17"/>
      <c r="R38" s="307"/>
      <c r="S38" s="307"/>
      <c r="T38" s="307"/>
      <c r="U38" s="307"/>
      <c r="V38" s="307"/>
      <c r="W38" s="307"/>
      <c r="X38" s="307"/>
      <c r="Y38" s="307"/>
      <c r="Z38" s="307"/>
      <c r="AA38" s="307"/>
      <c r="AB38" s="307"/>
      <c r="AC38" s="307"/>
      <c r="AD38" s="239"/>
      <c r="AE38" s="239"/>
      <c r="AF38" s="239"/>
    </row>
    <row r="39" spans="1:32" ht="15" customHeight="1">
      <c r="A39" s="17"/>
      <c r="B39" s="17"/>
      <c r="C39" s="17"/>
      <c r="D39" s="17"/>
      <c r="E39" s="17"/>
      <c r="F39" s="17"/>
      <c r="G39" s="17"/>
      <c r="H39" s="17"/>
      <c r="I39" s="17"/>
      <c r="J39" s="17"/>
      <c r="K39" s="647"/>
      <c r="L39" s="17"/>
      <c r="M39" s="17"/>
      <c r="N39" s="17"/>
      <c r="O39" s="17"/>
      <c r="P39" s="17"/>
      <c r="Q39" s="17"/>
      <c r="R39" s="307"/>
      <c r="S39" s="307"/>
      <c r="T39" s="307"/>
      <c r="U39" s="307"/>
      <c r="V39" s="307"/>
      <c r="W39" s="307"/>
      <c r="X39" s="307"/>
      <c r="Y39" s="307"/>
      <c r="Z39" s="307"/>
      <c r="AA39" s="307"/>
      <c r="AB39" s="307"/>
      <c r="AC39" s="307"/>
      <c r="AD39" s="239"/>
      <c r="AE39" s="239"/>
      <c r="AF39" s="239"/>
    </row>
    <row r="40" spans="1:32" ht="15" customHeight="1">
      <c r="A40" s="17"/>
      <c r="B40" s="17"/>
      <c r="C40" s="17"/>
      <c r="D40" s="17"/>
      <c r="E40" s="17"/>
      <c r="F40" s="17"/>
      <c r="G40" s="17"/>
      <c r="H40" s="17"/>
      <c r="I40" s="17"/>
      <c r="J40" s="17"/>
      <c r="K40" s="17"/>
      <c r="L40" s="17"/>
      <c r="M40" s="17"/>
      <c r="N40" s="17"/>
      <c r="O40" s="17"/>
      <c r="P40" s="17"/>
      <c r="Q40" s="17"/>
      <c r="R40" s="307"/>
      <c r="S40" s="307"/>
      <c r="T40" s="307"/>
      <c r="U40" s="307"/>
      <c r="V40" s="307"/>
      <c r="W40" s="307"/>
      <c r="X40" s="307"/>
      <c r="Y40" s="307"/>
      <c r="Z40" s="307"/>
      <c r="AA40" s="307"/>
      <c r="AB40" s="307"/>
      <c r="AC40" s="307"/>
      <c r="AD40" s="239"/>
      <c r="AE40" s="239"/>
      <c r="AF40" s="239"/>
    </row>
    <row r="41" spans="1:32" ht="15" customHeight="1">
      <c r="A41" s="293"/>
      <c r="B41" s="293"/>
      <c r="C41" s="646">
        <f>IF(G8&lt;=A17,D17,IF(G8&lt;=A18,D18,IF(G8&lt;=A19,D19,IF(G8&lt;=A20,D20,IF(G8&lt;=A21,D21,IF(G8&lt;=A22,D22,IF(G8&lt;=A23,D23,IF(G8&lt;=A24,D24,C42))))))))</f>
        <v>0.13730000000000001</v>
      </c>
      <c r="D41" s="646"/>
      <c r="E41" s="646"/>
      <c r="F41" s="646"/>
      <c r="G41" s="646"/>
      <c r="H41" s="646"/>
      <c r="I41" s="646"/>
      <c r="J41" s="646"/>
      <c r="K41" s="646"/>
      <c r="L41" s="646"/>
      <c r="M41" s="646"/>
      <c r="N41" s="646"/>
      <c r="O41" s="646"/>
      <c r="P41" s="293"/>
      <c r="Q41" s="17"/>
      <c r="R41" s="307"/>
      <c r="S41" s="307"/>
      <c r="T41" s="307"/>
      <c r="U41" s="307"/>
      <c r="V41" s="307"/>
      <c r="W41" s="307"/>
      <c r="X41" s="307"/>
      <c r="Y41" s="307"/>
      <c r="Z41" s="307"/>
      <c r="AA41" s="307"/>
      <c r="AB41" s="307"/>
      <c r="AC41" s="307"/>
      <c r="AD41" s="239"/>
      <c r="AE41" s="239"/>
      <c r="AF41" s="239"/>
    </row>
    <row r="42" spans="1:32" ht="15" customHeight="1">
      <c r="A42" s="293"/>
      <c r="B42" s="293"/>
      <c r="C42" s="646">
        <f>IF(G8&lt;=A25,D25,IF(G8&lt;=A26,D26,IF(G8&lt;=A27,D27,IF(G8&lt;=A28,D28,IF(G8&lt;=A29,D29,IF(G8&lt;=A30,D30,IF(G8&lt;=A31,D31,IF(G8&lt;=A32,D32,C43))))))))</f>
        <v>0.14249999999999999</v>
      </c>
      <c r="D42" s="646"/>
      <c r="E42" s="646"/>
      <c r="F42" s="646"/>
      <c r="G42" s="646"/>
      <c r="H42" s="646"/>
      <c r="I42" s="646"/>
      <c r="J42" s="646"/>
      <c r="K42" s="646"/>
      <c r="L42" s="646"/>
      <c r="M42" s="646"/>
      <c r="N42" s="646"/>
      <c r="O42" s="646"/>
      <c r="P42" s="293"/>
      <c r="Q42" s="17"/>
      <c r="R42" s="307"/>
      <c r="S42" s="307"/>
      <c r="T42" s="307"/>
      <c r="U42" s="307"/>
      <c r="V42" s="307"/>
      <c r="W42" s="307"/>
      <c r="X42" s="307"/>
      <c r="Y42" s="307"/>
      <c r="Z42" s="307"/>
      <c r="AA42" s="307"/>
      <c r="AB42" s="307"/>
      <c r="AC42" s="307"/>
      <c r="AD42" s="239"/>
      <c r="AE42" s="239"/>
      <c r="AF42" s="239"/>
    </row>
    <row r="43" spans="1:32" ht="15" customHeight="1">
      <c r="A43" s="293"/>
      <c r="B43" s="293"/>
      <c r="C43" s="646">
        <f>IF(G8&lt;=A33,D33,IF(G8&lt;=A34,D34,IF(G8&lt;=A35,D35,IF(G8&lt;=A36,D36,IF(G8&lt;=A37,D37,0)))))</f>
        <v>0.16289999999999999</v>
      </c>
      <c r="D43" s="646"/>
      <c r="E43" s="646"/>
      <c r="F43" s="646"/>
      <c r="G43" s="646"/>
      <c r="H43" s="646"/>
      <c r="I43" s="646"/>
      <c r="J43" s="646"/>
      <c r="K43" s="646"/>
      <c r="L43" s="646"/>
      <c r="M43" s="646"/>
      <c r="N43" s="646"/>
      <c r="O43" s="646"/>
      <c r="P43" s="293"/>
      <c r="Q43" s="17"/>
      <c r="R43" s="307"/>
      <c r="S43" s="307"/>
      <c r="T43" s="307"/>
      <c r="U43" s="307"/>
      <c r="V43" s="307"/>
      <c r="W43" s="307"/>
      <c r="X43" s="307"/>
      <c r="Y43" s="307"/>
      <c r="Z43" s="307"/>
      <c r="AA43" s="307"/>
      <c r="AB43" s="307"/>
      <c r="AC43" s="307"/>
      <c r="AD43" s="239"/>
      <c r="AE43" s="239"/>
      <c r="AF43" s="239"/>
    </row>
    <row r="44" spans="1:32" ht="15" customHeight="1">
      <c r="A44" s="293"/>
      <c r="B44" s="293"/>
      <c r="C44" s="293"/>
      <c r="D44" s="293"/>
      <c r="E44" s="293"/>
      <c r="F44" s="293"/>
      <c r="G44" s="293"/>
      <c r="H44" s="293"/>
      <c r="I44" s="293"/>
      <c r="J44" s="293"/>
      <c r="K44" s="293"/>
      <c r="L44" s="293"/>
      <c r="M44" s="293"/>
      <c r="N44" s="293"/>
      <c r="O44" s="293"/>
      <c r="P44" s="293"/>
      <c r="Q44" s="17"/>
      <c r="R44" s="307"/>
      <c r="S44" s="307"/>
      <c r="T44" s="307"/>
      <c r="U44" s="307"/>
      <c r="V44" s="307"/>
      <c r="W44" s="307"/>
      <c r="X44" s="307"/>
      <c r="Y44" s="307"/>
      <c r="Z44" s="307"/>
      <c r="AA44" s="307"/>
      <c r="AB44" s="307"/>
      <c r="AC44" s="307"/>
      <c r="AD44" s="239"/>
      <c r="AE44" s="239"/>
      <c r="AF44" s="239"/>
    </row>
    <row r="45" spans="1:32" ht="15" customHeight="1">
      <c r="A45" s="293"/>
      <c r="B45" s="293"/>
      <c r="C45" s="293"/>
      <c r="D45" s="293"/>
      <c r="E45" s="293"/>
      <c r="F45" s="293"/>
      <c r="G45" s="293"/>
      <c r="H45" s="293"/>
      <c r="I45" s="293"/>
      <c r="J45" s="293"/>
      <c r="K45" s="293"/>
      <c r="L45" s="293"/>
      <c r="M45" s="293"/>
      <c r="N45" s="293"/>
      <c r="O45" s="293"/>
      <c r="P45" s="293"/>
      <c r="Q45" s="17"/>
      <c r="R45" s="307"/>
      <c r="S45" s="307"/>
      <c r="T45" s="307"/>
      <c r="U45" s="307"/>
      <c r="V45" s="307"/>
      <c r="W45" s="307"/>
      <c r="X45" s="307"/>
      <c r="Y45" s="307"/>
      <c r="Z45" s="307"/>
      <c r="AA45" s="307"/>
      <c r="AB45" s="307"/>
      <c r="AC45" s="307"/>
      <c r="AD45" s="239"/>
      <c r="AE45" s="239"/>
      <c r="AF45" s="239"/>
    </row>
    <row r="46" spans="1:32" ht="15" customHeight="1">
      <c r="A46" s="293"/>
      <c r="B46" s="293"/>
      <c r="C46" s="293"/>
      <c r="D46" s="293"/>
      <c r="E46" s="293"/>
      <c r="F46" s="293"/>
      <c r="G46" s="293"/>
      <c r="H46" s="293"/>
      <c r="I46" s="293"/>
      <c r="J46" s="293"/>
      <c r="K46" s="293"/>
      <c r="L46" s="293"/>
      <c r="M46" s="293"/>
      <c r="N46" s="293"/>
      <c r="O46" s="293"/>
      <c r="P46" s="293"/>
      <c r="Q46" s="17"/>
      <c r="R46" s="307"/>
      <c r="S46" s="307"/>
      <c r="T46" s="307"/>
      <c r="U46" s="307"/>
      <c r="V46" s="307"/>
      <c r="W46" s="307"/>
      <c r="X46" s="307"/>
      <c r="Y46" s="307"/>
      <c r="Z46" s="307"/>
      <c r="AA46" s="307"/>
      <c r="AB46" s="307"/>
      <c r="AC46" s="307"/>
      <c r="AD46" s="239"/>
      <c r="AE46" s="239"/>
      <c r="AF46" s="239"/>
    </row>
    <row r="47" spans="1:32" ht="15" customHeight="1">
      <c r="A47" s="293"/>
      <c r="B47" s="293"/>
      <c r="C47" s="293"/>
      <c r="D47" s="293"/>
      <c r="E47" s="293"/>
      <c r="F47" s="293"/>
      <c r="G47" s="293"/>
      <c r="H47" s="293"/>
      <c r="I47" s="293"/>
      <c r="J47" s="293"/>
      <c r="K47" s="293"/>
      <c r="L47" s="293"/>
      <c r="M47" s="293"/>
      <c r="N47" s="293"/>
      <c r="O47" s="293"/>
      <c r="P47" s="293"/>
      <c r="Q47" s="17"/>
      <c r="R47" s="307"/>
      <c r="S47" s="307"/>
      <c r="T47" s="307"/>
      <c r="U47" s="307"/>
      <c r="V47" s="307"/>
      <c r="W47" s="307"/>
      <c r="X47" s="307"/>
      <c r="Y47" s="307"/>
      <c r="Z47" s="307"/>
      <c r="AA47" s="307"/>
      <c r="AB47" s="307"/>
      <c r="AC47" s="307"/>
      <c r="AD47" s="239"/>
      <c r="AE47" s="239"/>
      <c r="AF47" s="239"/>
    </row>
    <row r="48" spans="1:32" ht="15" customHeight="1">
      <c r="A48" s="17"/>
      <c r="B48" s="17"/>
      <c r="C48" s="17"/>
      <c r="D48" s="17"/>
      <c r="E48" s="17"/>
      <c r="F48" s="17"/>
      <c r="G48" s="17"/>
      <c r="H48" s="17"/>
      <c r="I48" s="17"/>
      <c r="J48" s="17"/>
      <c r="K48" s="17"/>
      <c r="L48" s="17"/>
      <c r="M48" s="17"/>
      <c r="N48" s="17"/>
      <c r="O48" s="17"/>
      <c r="P48" s="17"/>
      <c r="Q48" s="17"/>
      <c r="R48" s="307"/>
      <c r="S48" s="307"/>
      <c r="T48" s="307"/>
      <c r="U48" s="307"/>
      <c r="V48" s="307"/>
      <c r="W48" s="307"/>
      <c r="X48" s="307"/>
      <c r="Y48" s="307"/>
      <c r="Z48" s="307"/>
      <c r="AA48" s="307"/>
      <c r="AB48" s="307"/>
      <c r="AC48" s="307"/>
      <c r="AD48" s="239"/>
      <c r="AE48" s="239"/>
      <c r="AF48" s="239"/>
    </row>
    <row r="49" spans="1:32" ht="15" customHeight="1">
      <c r="A49" s="17"/>
      <c r="B49" s="17"/>
      <c r="C49" s="17"/>
      <c r="D49" s="17"/>
      <c r="E49" s="17"/>
      <c r="F49" s="17"/>
      <c r="G49" s="17"/>
      <c r="H49" s="17"/>
      <c r="I49" s="17"/>
      <c r="J49" s="17"/>
      <c r="K49" s="17"/>
      <c r="L49" s="17"/>
      <c r="M49" s="17"/>
      <c r="N49" s="17"/>
      <c r="O49" s="17"/>
      <c r="P49" s="17"/>
      <c r="Q49" s="17"/>
      <c r="R49" s="307"/>
      <c r="S49" s="307"/>
      <c r="T49" s="307"/>
      <c r="U49" s="307"/>
      <c r="V49" s="307"/>
      <c r="W49" s="307"/>
      <c r="X49" s="307"/>
      <c r="Y49" s="307"/>
      <c r="Z49" s="307"/>
      <c r="AA49" s="307"/>
      <c r="AB49" s="307"/>
      <c r="AC49" s="307"/>
      <c r="AD49" s="239"/>
      <c r="AE49" s="239"/>
      <c r="AF49" s="239"/>
    </row>
    <row r="50" spans="1:32" ht="15" customHeight="1">
      <c r="A50" s="17"/>
      <c r="B50" s="17"/>
      <c r="C50" s="17"/>
      <c r="D50" s="17"/>
      <c r="E50" s="17"/>
      <c r="F50" s="17"/>
      <c r="G50" s="17"/>
      <c r="H50" s="17"/>
      <c r="I50" s="17"/>
      <c r="J50" s="17"/>
      <c r="K50" s="17"/>
      <c r="L50" s="17"/>
      <c r="M50" s="17"/>
      <c r="N50" s="17"/>
      <c r="O50" s="17"/>
      <c r="P50" s="17"/>
      <c r="Q50" s="17"/>
      <c r="R50" s="307"/>
      <c r="S50" s="307"/>
      <c r="T50" s="307"/>
      <c r="U50" s="307"/>
      <c r="V50" s="307"/>
      <c r="W50" s="307"/>
      <c r="X50" s="307"/>
      <c r="Y50" s="307"/>
      <c r="Z50" s="307"/>
      <c r="AA50" s="307"/>
      <c r="AB50" s="307"/>
      <c r="AC50" s="307"/>
      <c r="AD50" s="239"/>
      <c r="AE50" s="239"/>
      <c r="AF50" s="239"/>
    </row>
    <row r="51" spans="1:32" ht="15" customHeight="1">
      <c r="A51" s="17"/>
      <c r="B51" s="17"/>
      <c r="C51" s="17"/>
      <c r="D51" s="17"/>
      <c r="E51" s="17"/>
      <c r="F51" s="17"/>
      <c r="G51" s="17"/>
      <c r="H51" s="17"/>
      <c r="I51" s="17"/>
      <c r="J51" s="17"/>
      <c r="K51" s="17"/>
      <c r="L51" s="17"/>
      <c r="M51" s="17"/>
      <c r="N51" s="17"/>
      <c r="O51" s="17"/>
      <c r="P51" s="17"/>
      <c r="Q51" s="17"/>
      <c r="R51" s="307"/>
      <c r="S51" s="307"/>
      <c r="T51" s="307"/>
      <c r="U51" s="307"/>
      <c r="V51" s="307"/>
      <c r="W51" s="307"/>
      <c r="X51" s="307"/>
      <c r="Y51" s="307"/>
      <c r="Z51" s="307"/>
      <c r="AA51" s="307"/>
      <c r="AB51" s="307"/>
      <c r="AC51" s="307"/>
      <c r="AD51" s="239"/>
      <c r="AE51" s="239"/>
      <c r="AF51" s="239"/>
    </row>
    <row r="52" spans="1:32" ht="15" customHeight="1">
      <c r="A52" s="17"/>
      <c r="B52" s="17"/>
      <c r="C52" s="17"/>
      <c r="D52" s="17"/>
      <c r="E52" s="17"/>
      <c r="F52" s="17"/>
      <c r="G52" s="17"/>
      <c r="H52" s="17"/>
      <c r="I52" s="17"/>
      <c r="J52" s="17"/>
      <c r="K52" s="17"/>
      <c r="L52" s="17"/>
      <c r="M52" s="17"/>
      <c r="N52" s="17"/>
      <c r="O52" s="17"/>
      <c r="P52" s="17"/>
      <c r="Q52" s="17"/>
      <c r="R52" s="307"/>
      <c r="S52" s="307"/>
      <c r="T52" s="307"/>
      <c r="U52" s="307"/>
      <c r="V52" s="307"/>
      <c r="W52" s="307"/>
      <c r="X52" s="307"/>
      <c r="Y52" s="307"/>
      <c r="Z52" s="307"/>
      <c r="AA52" s="307"/>
      <c r="AB52" s="307"/>
      <c r="AC52" s="307"/>
      <c r="AD52" s="239"/>
      <c r="AE52" s="239"/>
      <c r="AF52" s="239"/>
    </row>
    <row r="53" spans="1:32" ht="15" customHeight="1">
      <c r="A53" s="17"/>
      <c r="B53" s="17"/>
      <c r="C53" s="17"/>
      <c r="D53" s="17"/>
      <c r="E53" s="17"/>
      <c r="F53" s="17"/>
      <c r="G53" s="17"/>
      <c r="H53" s="17"/>
      <c r="I53" s="17"/>
      <c r="J53" s="17"/>
      <c r="K53" s="17"/>
      <c r="L53" s="17"/>
      <c r="M53" s="17"/>
      <c r="N53" s="17"/>
      <c r="O53" s="17"/>
      <c r="P53" s="17"/>
      <c r="Q53" s="17"/>
      <c r="R53" s="307"/>
      <c r="S53" s="307"/>
      <c r="T53" s="307"/>
      <c r="U53" s="307"/>
      <c r="V53" s="307"/>
      <c r="W53" s="307"/>
      <c r="X53" s="307"/>
      <c r="Y53" s="307"/>
      <c r="Z53" s="307"/>
      <c r="AA53" s="307"/>
      <c r="AB53" s="307"/>
      <c r="AC53" s="307"/>
      <c r="AD53" s="239"/>
      <c r="AE53" s="239"/>
      <c r="AF53" s="239"/>
    </row>
    <row r="54" spans="1:32" ht="15" customHeight="1">
      <c r="A54" s="17"/>
      <c r="B54" s="17"/>
      <c r="C54" s="17"/>
      <c r="D54" s="17"/>
      <c r="E54" s="17"/>
      <c r="F54" s="17"/>
      <c r="G54" s="17"/>
      <c r="H54" s="17"/>
      <c r="I54" s="17"/>
      <c r="J54" s="17"/>
      <c r="K54" s="17"/>
      <c r="L54" s="17"/>
      <c r="M54" s="17"/>
      <c r="N54" s="17"/>
      <c r="O54" s="17"/>
      <c r="P54" s="17"/>
      <c r="Q54" s="17"/>
      <c r="R54" s="307"/>
      <c r="S54" s="307"/>
      <c r="T54" s="307"/>
      <c r="U54" s="307"/>
      <c r="V54" s="307"/>
      <c r="W54" s="307"/>
      <c r="X54" s="307"/>
      <c r="Y54" s="307"/>
      <c r="Z54" s="307"/>
      <c r="AA54" s="307"/>
      <c r="AB54" s="307"/>
      <c r="AC54" s="307"/>
      <c r="AD54" s="239"/>
      <c r="AE54" s="239"/>
      <c r="AF54" s="239"/>
    </row>
    <row r="55" spans="1:32" ht="15" customHeight="1">
      <c r="A55" s="17"/>
      <c r="B55" s="17"/>
      <c r="C55" s="17"/>
      <c r="D55" s="17"/>
      <c r="E55" s="17"/>
      <c r="F55" s="17"/>
      <c r="G55" s="17"/>
      <c r="H55" s="17"/>
      <c r="I55" s="17"/>
      <c r="J55" s="17"/>
      <c r="K55" s="17"/>
      <c r="L55" s="17"/>
      <c r="M55" s="17"/>
      <c r="N55" s="17"/>
      <c r="O55" s="17"/>
      <c r="P55" s="17"/>
      <c r="Q55" s="17"/>
      <c r="R55" s="307"/>
      <c r="S55" s="307"/>
      <c r="T55" s="307"/>
      <c r="U55" s="307"/>
      <c r="V55" s="307"/>
      <c r="W55" s="307"/>
      <c r="X55" s="307"/>
      <c r="Y55" s="307"/>
      <c r="Z55" s="307"/>
      <c r="AA55" s="307"/>
      <c r="AB55" s="307"/>
      <c r="AC55" s="307"/>
      <c r="AD55" s="239"/>
      <c r="AE55" s="239"/>
      <c r="AF55" s="239"/>
    </row>
    <row r="56" spans="1:32" ht="15" customHeight="1">
      <c r="A56" s="17"/>
      <c r="B56" s="17"/>
      <c r="C56" s="17"/>
      <c r="D56" s="17"/>
      <c r="E56" s="17"/>
      <c r="F56" s="17"/>
      <c r="G56" s="17"/>
      <c r="H56" s="17"/>
      <c r="I56" s="17"/>
      <c r="J56" s="17"/>
      <c r="K56" s="17"/>
      <c r="L56" s="17"/>
      <c r="M56" s="17"/>
      <c r="N56" s="17"/>
      <c r="O56" s="17"/>
      <c r="P56" s="17"/>
      <c r="Q56" s="17"/>
      <c r="R56" s="307"/>
      <c r="S56" s="307"/>
      <c r="T56" s="307"/>
      <c r="U56" s="307"/>
      <c r="V56" s="307"/>
      <c r="W56" s="307"/>
      <c r="X56" s="307"/>
      <c r="Y56" s="307"/>
      <c r="Z56" s="307"/>
      <c r="AA56" s="307"/>
      <c r="AB56" s="307"/>
      <c r="AC56" s="307"/>
      <c r="AD56" s="239"/>
      <c r="AE56" s="239"/>
      <c r="AF56" s="239"/>
    </row>
    <row r="57" spans="1:32" ht="15" customHeight="1">
      <c r="A57" s="17"/>
      <c r="B57" s="17"/>
      <c r="C57" s="17"/>
      <c r="D57" s="17"/>
      <c r="E57" s="17"/>
      <c r="F57" s="17"/>
      <c r="G57" s="17"/>
      <c r="H57" s="17"/>
      <c r="I57" s="17"/>
      <c r="J57" s="17"/>
      <c r="K57" s="17"/>
      <c r="L57" s="17"/>
      <c r="M57" s="17"/>
      <c r="N57" s="17"/>
      <c r="O57" s="17"/>
      <c r="P57" s="17"/>
      <c r="Q57" s="17"/>
      <c r="R57" s="307"/>
      <c r="S57" s="307"/>
      <c r="T57" s="307"/>
      <c r="U57" s="307"/>
      <c r="V57" s="307"/>
      <c r="W57" s="307"/>
      <c r="X57" s="307"/>
      <c r="Y57" s="307"/>
      <c r="Z57" s="307"/>
      <c r="AA57" s="307"/>
      <c r="AB57" s="307"/>
      <c r="AC57" s="307"/>
      <c r="AD57" s="239"/>
      <c r="AE57" s="239"/>
      <c r="AF57" s="239"/>
    </row>
    <row r="58" spans="1:32" ht="15" customHeight="1">
      <c r="A58" s="17"/>
      <c r="B58" s="17"/>
      <c r="C58" s="17"/>
      <c r="D58" s="17"/>
      <c r="E58" s="17"/>
      <c r="F58" s="17"/>
      <c r="G58" s="17"/>
      <c r="H58" s="17"/>
      <c r="I58" s="17"/>
      <c r="J58" s="17"/>
      <c r="K58" s="17"/>
      <c r="L58" s="17"/>
      <c r="M58" s="17"/>
      <c r="N58" s="17"/>
      <c r="O58" s="17"/>
      <c r="P58" s="17"/>
      <c r="Q58" s="17"/>
      <c r="R58" s="307"/>
      <c r="S58" s="307"/>
      <c r="T58" s="307"/>
      <c r="U58" s="307"/>
      <c r="V58" s="307"/>
      <c r="W58" s="307"/>
      <c r="X58" s="307"/>
      <c r="Y58" s="307"/>
      <c r="Z58" s="307"/>
      <c r="AA58" s="307"/>
      <c r="AB58" s="307"/>
      <c r="AC58" s="307"/>
      <c r="AD58" s="239"/>
      <c r="AE58" s="239"/>
      <c r="AF58" s="239"/>
    </row>
    <row r="59" spans="1:32" ht="15" customHeight="1">
      <c r="A59" s="17"/>
      <c r="B59" s="17"/>
      <c r="C59" s="17"/>
      <c r="D59" s="17"/>
      <c r="E59" s="17"/>
      <c r="F59" s="17"/>
      <c r="G59" s="17"/>
      <c r="H59" s="17"/>
      <c r="I59" s="17"/>
      <c r="J59" s="17"/>
      <c r="K59" s="17"/>
      <c r="L59" s="17"/>
      <c r="M59" s="17"/>
      <c r="N59" s="17"/>
      <c r="O59" s="17"/>
      <c r="P59" s="17"/>
      <c r="Q59" s="17"/>
      <c r="R59" s="307"/>
      <c r="S59" s="307"/>
      <c r="T59" s="307"/>
      <c r="U59" s="307"/>
      <c r="V59" s="307"/>
      <c r="W59" s="307"/>
      <c r="X59" s="307"/>
      <c r="Y59" s="307"/>
      <c r="Z59" s="307"/>
      <c r="AA59" s="307"/>
      <c r="AB59" s="307"/>
      <c r="AC59" s="307"/>
      <c r="AD59" s="239"/>
      <c r="AE59" s="239"/>
      <c r="AF59" s="239"/>
    </row>
    <row r="60" spans="1:32" ht="15" customHeight="1">
      <c r="A60" s="17"/>
      <c r="B60" s="17"/>
      <c r="C60" s="17"/>
      <c r="D60" s="17"/>
      <c r="E60" s="17"/>
      <c r="F60" s="17"/>
      <c r="G60" s="17"/>
      <c r="H60" s="17"/>
      <c r="I60" s="17"/>
      <c r="J60" s="17"/>
      <c r="K60" s="17"/>
      <c r="L60" s="17"/>
      <c r="M60" s="17"/>
      <c r="N60" s="17"/>
      <c r="O60" s="17"/>
      <c r="P60" s="17"/>
      <c r="Q60" s="17"/>
      <c r="R60" s="307"/>
      <c r="S60" s="307"/>
      <c r="T60" s="307"/>
      <c r="U60" s="307"/>
      <c r="V60" s="307"/>
      <c r="W60" s="307"/>
      <c r="X60" s="307"/>
      <c r="Y60" s="307"/>
      <c r="Z60" s="307"/>
      <c r="AA60" s="307"/>
      <c r="AB60" s="307"/>
      <c r="AC60" s="307"/>
      <c r="AD60" s="239"/>
      <c r="AE60" s="239"/>
      <c r="AF60" s="239"/>
    </row>
    <row r="61" spans="1:32" ht="15" customHeight="1">
      <c r="A61" s="17"/>
      <c r="B61" s="17"/>
      <c r="C61" s="17"/>
      <c r="D61" s="17"/>
      <c r="E61" s="17"/>
      <c r="F61" s="17"/>
      <c r="G61" s="17"/>
      <c r="H61" s="17"/>
      <c r="I61" s="17"/>
      <c r="J61" s="17"/>
      <c r="K61" s="17"/>
      <c r="L61" s="17"/>
      <c r="M61" s="17"/>
      <c r="N61" s="17"/>
      <c r="O61" s="17"/>
      <c r="P61" s="17"/>
      <c r="Q61" s="17"/>
      <c r="R61" s="307"/>
      <c r="S61" s="307"/>
      <c r="T61" s="307"/>
      <c r="U61" s="307"/>
      <c r="V61" s="307"/>
      <c r="W61" s="307"/>
      <c r="X61" s="307"/>
      <c r="Y61" s="307"/>
      <c r="Z61" s="307"/>
      <c r="AA61" s="307"/>
      <c r="AB61" s="307"/>
      <c r="AC61" s="307"/>
      <c r="AD61" s="239"/>
      <c r="AE61" s="239"/>
      <c r="AF61" s="239"/>
    </row>
    <row r="62" spans="1:32" ht="15" customHeight="1">
      <c r="A62" s="17"/>
      <c r="B62" s="17"/>
      <c r="C62" s="17"/>
      <c r="D62" s="17"/>
      <c r="E62" s="17"/>
      <c r="F62" s="17"/>
      <c r="G62" s="17"/>
      <c r="H62" s="17"/>
      <c r="I62" s="17"/>
      <c r="J62" s="17"/>
      <c r="K62" s="17"/>
      <c r="L62" s="17"/>
      <c r="M62" s="17"/>
      <c r="N62" s="17"/>
      <c r="O62" s="17"/>
      <c r="P62" s="17"/>
      <c r="Q62" s="17"/>
      <c r="R62" s="307"/>
      <c r="S62" s="307"/>
      <c r="T62" s="307"/>
      <c r="U62" s="307"/>
      <c r="V62" s="307"/>
      <c r="W62" s="307"/>
      <c r="X62" s="307"/>
      <c r="Y62" s="307"/>
      <c r="Z62" s="307"/>
      <c r="AA62" s="307"/>
      <c r="AB62" s="307"/>
      <c r="AC62" s="307"/>
      <c r="AD62" s="239"/>
      <c r="AE62" s="239"/>
      <c r="AF62" s="239"/>
    </row>
    <row r="63" spans="1:32" ht="15" customHeight="1">
      <c r="A63" s="17"/>
      <c r="B63" s="17"/>
      <c r="C63" s="17"/>
      <c r="D63" s="17"/>
      <c r="E63" s="17"/>
      <c r="F63" s="17"/>
      <c r="G63" s="17"/>
      <c r="H63" s="17"/>
      <c r="I63" s="17"/>
      <c r="J63" s="17"/>
      <c r="K63" s="17"/>
      <c r="L63" s="17"/>
      <c r="M63" s="17"/>
      <c r="N63" s="17"/>
      <c r="O63" s="17"/>
      <c r="P63" s="17"/>
      <c r="Q63" s="17"/>
      <c r="R63" s="307"/>
      <c r="S63" s="307"/>
      <c r="T63" s="307"/>
      <c r="U63" s="307"/>
      <c r="V63" s="307"/>
      <c r="W63" s="307"/>
      <c r="X63" s="307"/>
      <c r="Y63" s="307"/>
      <c r="Z63" s="307"/>
      <c r="AA63" s="307"/>
      <c r="AB63" s="307"/>
      <c r="AC63" s="307"/>
      <c r="AD63" s="239"/>
      <c r="AE63" s="239"/>
      <c r="AF63" s="239"/>
    </row>
    <row r="64" spans="1:32" ht="15" customHeight="1">
      <c r="A64" s="17"/>
      <c r="B64" s="17"/>
      <c r="C64" s="17"/>
      <c r="D64" s="17"/>
      <c r="E64" s="17"/>
      <c r="F64" s="17"/>
      <c r="G64" s="17"/>
      <c r="H64" s="17"/>
      <c r="I64" s="17"/>
      <c r="J64" s="17"/>
      <c r="K64" s="17"/>
      <c r="L64" s="17"/>
      <c r="M64" s="17"/>
      <c r="N64" s="17"/>
      <c r="O64" s="17"/>
      <c r="P64" s="17"/>
      <c r="Q64" s="17"/>
      <c r="R64" s="307"/>
      <c r="S64" s="307"/>
      <c r="T64" s="307"/>
      <c r="U64" s="307"/>
      <c r="V64" s="307"/>
      <c r="W64" s="307"/>
      <c r="X64" s="307"/>
      <c r="Y64" s="307"/>
      <c r="Z64" s="307"/>
      <c r="AA64" s="307"/>
      <c r="AB64" s="307"/>
      <c r="AC64" s="307"/>
      <c r="AD64" s="239"/>
      <c r="AE64" s="239"/>
      <c r="AF64" s="239"/>
    </row>
    <row r="65" spans="1:32" ht="15" customHeight="1">
      <c r="A65" s="17"/>
      <c r="B65" s="17"/>
      <c r="C65" s="17"/>
      <c r="D65" s="17"/>
      <c r="E65" s="17"/>
      <c r="F65" s="17"/>
      <c r="G65" s="17"/>
      <c r="H65" s="17"/>
      <c r="I65" s="17"/>
      <c r="J65" s="17"/>
      <c r="K65" s="17"/>
      <c r="L65" s="17"/>
      <c r="M65" s="17"/>
      <c r="N65" s="17"/>
      <c r="O65" s="17"/>
      <c r="P65" s="17"/>
      <c r="Q65" s="17"/>
      <c r="R65" s="307"/>
      <c r="S65" s="307"/>
      <c r="T65" s="307"/>
      <c r="U65" s="307"/>
      <c r="V65" s="307"/>
      <c r="W65" s="307"/>
      <c r="X65" s="307"/>
      <c r="Y65" s="307"/>
      <c r="Z65" s="307"/>
      <c r="AA65" s="307"/>
      <c r="AB65" s="307"/>
      <c r="AC65" s="307"/>
      <c r="AD65" s="239"/>
      <c r="AE65" s="239"/>
      <c r="AF65" s="239"/>
    </row>
    <row r="66" spans="1:32" ht="15" customHeight="1">
      <c r="A66" s="17"/>
      <c r="B66" s="17"/>
      <c r="C66" s="17"/>
      <c r="D66" s="17"/>
      <c r="E66" s="17"/>
      <c r="F66" s="17"/>
      <c r="G66" s="17"/>
      <c r="H66" s="17"/>
      <c r="I66" s="17"/>
      <c r="J66" s="17"/>
      <c r="K66" s="17"/>
      <c r="L66" s="17"/>
      <c r="M66" s="17"/>
      <c r="N66" s="17"/>
      <c r="O66" s="17"/>
      <c r="P66" s="17"/>
      <c r="Q66" s="17"/>
      <c r="R66" s="307"/>
      <c r="S66" s="307"/>
      <c r="T66" s="307"/>
      <c r="U66" s="307"/>
      <c r="V66" s="307"/>
      <c r="W66" s="307"/>
      <c r="X66" s="307"/>
      <c r="Y66" s="307"/>
      <c r="Z66" s="307"/>
      <c r="AA66" s="307"/>
      <c r="AB66" s="307"/>
      <c r="AC66" s="307"/>
      <c r="AD66" s="239"/>
      <c r="AE66" s="239"/>
      <c r="AF66" s="239"/>
    </row>
    <row r="67" spans="1:32" ht="15" customHeight="1">
      <c r="A67" s="17"/>
      <c r="B67" s="17"/>
      <c r="C67" s="17"/>
      <c r="D67" s="17"/>
      <c r="E67" s="17"/>
      <c r="F67" s="17"/>
      <c r="G67" s="17"/>
      <c r="H67" s="17"/>
      <c r="I67" s="17"/>
      <c r="J67" s="17"/>
      <c r="K67" s="17"/>
      <c r="L67" s="17"/>
      <c r="M67" s="17"/>
      <c r="N67" s="17"/>
      <c r="O67" s="17"/>
      <c r="P67" s="17"/>
      <c r="Q67" s="17"/>
      <c r="R67" s="307"/>
      <c r="S67" s="307"/>
      <c r="T67" s="307"/>
      <c r="U67" s="307"/>
      <c r="V67" s="307"/>
      <c r="W67" s="307"/>
      <c r="X67" s="307"/>
      <c r="Y67" s="307"/>
      <c r="Z67" s="307"/>
      <c r="AA67" s="307"/>
      <c r="AB67" s="307"/>
      <c r="AC67" s="307"/>
      <c r="AD67" s="239"/>
      <c r="AE67" s="239"/>
      <c r="AF67" s="239"/>
    </row>
    <row r="68" spans="1:32" ht="15" customHeight="1">
      <c r="A68" s="17"/>
      <c r="B68" s="17"/>
      <c r="C68" s="17"/>
      <c r="D68" s="17"/>
      <c r="E68" s="17"/>
      <c r="F68" s="17"/>
      <c r="G68" s="17"/>
      <c r="H68" s="17"/>
      <c r="I68" s="17"/>
      <c r="J68" s="17"/>
      <c r="K68" s="17"/>
      <c r="L68" s="17"/>
      <c r="M68" s="17"/>
      <c r="N68" s="17"/>
      <c r="O68" s="17"/>
      <c r="P68" s="17"/>
      <c r="Q68" s="17"/>
      <c r="R68" s="307"/>
      <c r="S68" s="307"/>
      <c r="T68" s="307"/>
      <c r="U68" s="307"/>
      <c r="V68" s="307"/>
      <c r="W68" s="307"/>
      <c r="X68" s="307"/>
      <c r="Y68" s="307"/>
      <c r="Z68" s="307"/>
      <c r="AA68" s="307"/>
      <c r="AB68" s="307"/>
      <c r="AC68" s="307"/>
      <c r="AD68" s="239"/>
      <c r="AE68" s="239"/>
      <c r="AF68" s="239"/>
    </row>
    <row r="69" spans="1:32" ht="15" customHeight="1">
      <c r="A69" s="17"/>
      <c r="B69" s="17"/>
      <c r="C69" s="17"/>
      <c r="D69" s="17"/>
      <c r="E69" s="17"/>
      <c r="F69" s="17"/>
      <c r="G69" s="17"/>
      <c r="H69" s="17"/>
      <c r="I69" s="17"/>
      <c r="J69" s="17"/>
      <c r="K69" s="17"/>
      <c r="L69" s="17"/>
      <c r="M69" s="17"/>
      <c r="N69" s="17"/>
      <c r="O69" s="17"/>
      <c r="P69" s="17"/>
      <c r="Q69" s="17"/>
      <c r="R69" s="307"/>
      <c r="S69" s="307"/>
      <c r="T69" s="307"/>
      <c r="U69" s="307"/>
      <c r="V69" s="307"/>
      <c r="W69" s="307"/>
      <c r="X69" s="307"/>
      <c r="Y69" s="307"/>
      <c r="Z69" s="307"/>
      <c r="AA69" s="307"/>
      <c r="AB69" s="307"/>
      <c r="AC69" s="307"/>
      <c r="AD69" s="239"/>
      <c r="AE69" s="239"/>
      <c r="AF69" s="239"/>
    </row>
    <row r="70" spans="1:32" ht="15" customHeight="1">
      <c r="A70" s="17"/>
      <c r="B70" s="17"/>
      <c r="C70" s="17"/>
      <c r="D70" s="17"/>
      <c r="E70" s="17"/>
      <c r="F70" s="17"/>
      <c r="G70" s="17"/>
      <c r="H70" s="17"/>
      <c r="I70" s="17"/>
      <c r="J70" s="17"/>
      <c r="K70" s="17"/>
      <c r="L70" s="17"/>
      <c r="M70" s="17"/>
      <c r="N70" s="17"/>
      <c r="O70" s="17"/>
      <c r="P70" s="17"/>
      <c r="Q70" s="17"/>
      <c r="R70" s="307"/>
      <c r="S70" s="307"/>
      <c r="T70" s="307"/>
      <c r="U70" s="307"/>
      <c r="V70" s="307"/>
      <c r="W70" s="307"/>
      <c r="X70" s="307"/>
      <c r="Y70" s="307"/>
      <c r="Z70" s="307"/>
      <c r="AA70" s="307"/>
      <c r="AB70" s="307"/>
      <c r="AC70" s="307"/>
      <c r="AD70" s="239"/>
      <c r="AE70" s="239"/>
      <c r="AF70" s="239"/>
    </row>
    <row r="71" spans="1:32" ht="15" customHeight="1">
      <c r="A71" s="17"/>
      <c r="B71" s="17"/>
      <c r="C71" s="17"/>
      <c r="D71" s="17"/>
      <c r="E71" s="17"/>
      <c r="F71" s="17"/>
      <c r="G71" s="17"/>
      <c r="H71" s="17"/>
      <c r="I71" s="17"/>
      <c r="J71" s="17"/>
      <c r="K71" s="17"/>
      <c r="L71" s="17"/>
      <c r="M71" s="17"/>
      <c r="N71" s="17"/>
      <c r="O71" s="17"/>
      <c r="P71" s="17"/>
      <c r="Q71" s="17"/>
      <c r="R71" s="307"/>
      <c r="S71" s="307"/>
      <c r="T71" s="307"/>
      <c r="U71" s="307"/>
      <c r="V71" s="307"/>
      <c r="W71" s="307"/>
      <c r="X71" s="307"/>
      <c r="Y71" s="307"/>
      <c r="Z71" s="307"/>
      <c r="AA71" s="307"/>
      <c r="AB71" s="307"/>
      <c r="AC71" s="307"/>
      <c r="AD71" s="239"/>
      <c r="AE71" s="239"/>
      <c r="AF71" s="239"/>
    </row>
    <row r="72" spans="1:32" ht="15" customHeight="1">
      <c r="A72" s="17"/>
      <c r="B72" s="17"/>
      <c r="C72" s="17"/>
      <c r="D72" s="17"/>
      <c r="E72" s="17"/>
      <c r="F72" s="17"/>
      <c r="G72" s="17"/>
      <c r="H72" s="17"/>
      <c r="I72" s="17"/>
      <c r="J72" s="17"/>
      <c r="K72" s="17"/>
      <c r="L72" s="17"/>
      <c r="M72" s="17"/>
      <c r="N72" s="17"/>
      <c r="O72" s="17"/>
      <c r="P72" s="17"/>
      <c r="Q72" s="17"/>
      <c r="R72" s="307"/>
      <c r="S72" s="307"/>
      <c r="T72" s="307"/>
      <c r="U72" s="307"/>
      <c r="V72" s="307"/>
      <c r="W72" s="307"/>
      <c r="X72" s="307"/>
      <c r="Y72" s="307"/>
      <c r="Z72" s="307"/>
      <c r="AA72" s="307"/>
      <c r="AB72" s="307"/>
      <c r="AC72" s="307"/>
      <c r="AD72" s="239"/>
      <c r="AE72" s="239"/>
      <c r="AF72" s="239"/>
    </row>
    <row r="73" spans="1:32" ht="15" customHeight="1">
      <c r="A73" s="17"/>
      <c r="B73" s="17"/>
      <c r="C73" s="17"/>
      <c r="D73" s="17"/>
      <c r="E73" s="17"/>
      <c r="F73" s="17"/>
      <c r="G73" s="17"/>
      <c r="H73" s="17"/>
      <c r="I73" s="17"/>
      <c r="J73" s="17"/>
      <c r="K73" s="17"/>
      <c r="L73" s="17"/>
      <c r="M73" s="17"/>
      <c r="N73" s="17"/>
      <c r="O73" s="17"/>
      <c r="P73" s="17"/>
      <c r="Q73" s="17"/>
      <c r="R73" s="307"/>
      <c r="S73" s="307"/>
      <c r="T73" s="307"/>
      <c r="U73" s="307"/>
      <c r="V73" s="307"/>
      <c r="W73" s="307"/>
      <c r="X73" s="307"/>
      <c r="Y73" s="307"/>
      <c r="Z73" s="307"/>
      <c r="AA73" s="307"/>
      <c r="AB73" s="307"/>
      <c r="AC73" s="307"/>
    </row>
    <row r="74" spans="1:32" ht="15" customHeight="1">
      <c r="A74" s="17"/>
      <c r="B74" s="17"/>
      <c r="C74" s="17"/>
      <c r="D74" s="17"/>
      <c r="E74" s="17"/>
      <c r="F74" s="17"/>
      <c r="G74" s="17"/>
      <c r="H74" s="17"/>
      <c r="I74" s="17"/>
      <c r="J74" s="17"/>
      <c r="K74" s="17"/>
      <c r="L74" s="17"/>
      <c r="M74" s="17"/>
      <c r="N74" s="17"/>
      <c r="O74" s="17"/>
      <c r="P74" s="17"/>
      <c r="Q74" s="17"/>
      <c r="R74" s="307"/>
      <c r="S74" s="307"/>
      <c r="T74" s="307"/>
      <c r="U74" s="307"/>
      <c r="V74" s="307"/>
      <c r="W74" s="307"/>
      <c r="X74" s="307"/>
      <c r="Y74" s="307"/>
      <c r="Z74" s="307"/>
      <c r="AA74" s="307"/>
      <c r="AB74" s="307"/>
      <c r="AC74" s="307"/>
    </row>
    <row r="75" spans="1:32" ht="15" customHeight="1">
      <c r="A75" s="17"/>
      <c r="B75" s="17"/>
      <c r="C75" s="17"/>
      <c r="D75" s="17"/>
      <c r="E75" s="17"/>
      <c r="F75" s="17"/>
      <c r="G75" s="17"/>
      <c r="H75" s="17"/>
      <c r="I75" s="17"/>
      <c r="J75" s="17"/>
      <c r="K75" s="17"/>
      <c r="L75" s="17"/>
      <c r="M75" s="17"/>
      <c r="N75" s="17"/>
      <c r="O75" s="17"/>
      <c r="P75" s="17"/>
      <c r="Q75" s="17"/>
      <c r="R75" s="307"/>
      <c r="S75" s="307"/>
      <c r="T75" s="307"/>
      <c r="U75" s="307"/>
      <c r="V75" s="307"/>
      <c r="W75" s="307"/>
      <c r="X75" s="307"/>
      <c r="Y75" s="307"/>
      <c r="Z75" s="307"/>
      <c r="AA75" s="307"/>
      <c r="AB75" s="307"/>
      <c r="AC75" s="307"/>
    </row>
    <row r="76" spans="1:32" ht="15" customHeight="1">
      <c r="A76" s="17"/>
      <c r="B76" s="17"/>
      <c r="C76" s="17"/>
      <c r="D76" s="17"/>
      <c r="E76" s="17"/>
      <c r="F76" s="17"/>
      <c r="G76" s="17"/>
      <c r="H76" s="17"/>
      <c r="I76" s="17"/>
      <c r="J76" s="17"/>
      <c r="K76" s="17"/>
      <c r="L76" s="17"/>
      <c r="M76" s="17"/>
      <c r="N76" s="17"/>
      <c r="O76" s="17"/>
      <c r="P76" s="17"/>
      <c r="Q76" s="17"/>
      <c r="R76" s="307"/>
      <c r="S76" s="307"/>
      <c r="T76" s="307"/>
      <c r="U76" s="307"/>
      <c r="V76" s="307"/>
      <c r="W76" s="307"/>
      <c r="X76" s="307"/>
      <c r="Y76" s="307"/>
      <c r="Z76" s="307"/>
      <c r="AA76" s="307"/>
      <c r="AB76" s="307"/>
      <c r="AC76" s="307"/>
    </row>
    <row r="77" spans="1:32" ht="15" customHeight="1">
      <c r="A77" s="17"/>
      <c r="B77" s="17"/>
      <c r="C77" s="17"/>
      <c r="D77" s="17"/>
      <c r="E77" s="17"/>
      <c r="F77" s="17"/>
      <c r="G77" s="17"/>
      <c r="H77" s="17"/>
      <c r="I77" s="17"/>
      <c r="J77" s="17"/>
      <c r="K77" s="17"/>
      <c r="L77" s="17"/>
      <c r="M77" s="17"/>
      <c r="N77" s="17"/>
      <c r="O77" s="17"/>
      <c r="P77" s="17"/>
      <c r="Q77" s="17"/>
      <c r="R77" s="307"/>
      <c r="S77" s="307"/>
      <c r="T77" s="307"/>
      <c r="U77" s="307"/>
      <c r="V77" s="307"/>
      <c r="W77" s="307"/>
      <c r="X77" s="307"/>
      <c r="Y77" s="307"/>
      <c r="Z77" s="307"/>
      <c r="AA77" s="307"/>
      <c r="AB77" s="307"/>
      <c r="AC77" s="307"/>
    </row>
    <row r="78" spans="1:32" ht="15" customHeight="1">
      <c r="A78" s="17"/>
      <c r="B78" s="17"/>
      <c r="C78" s="17"/>
      <c r="D78" s="17"/>
      <c r="E78" s="17"/>
      <c r="F78" s="17"/>
      <c r="G78" s="17"/>
      <c r="H78" s="17"/>
      <c r="I78" s="17"/>
      <c r="J78" s="17"/>
      <c r="K78" s="17"/>
      <c r="L78" s="17"/>
      <c r="M78" s="17"/>
      <c r="N78" s="17"/>
      <c r="O78" s="17"/>
      <c r="P78" s="17"/>
      <c r="Q78" s="17"/>
      <c r="R78" s="307"/>
      <c r="S78" s="307"/>
      <c r="T78" s="307"/>
      <c r="U78" s="307"/>
      <c r="V78" s="307"/>
      <c r="W78" s="307"/>
      <c r="X78" s="307"/>
      <c r="Y78" s="307"/>
      <c r="Z78" s="307"/>
      <c r="AA78" s="307"/>
      <c r="AB78" s="307"/>
      <c r="AC78" s="307"/>
    </row>
    <row r="79" spans="1:32" ht="15" customHeight="1">
      <c r="A79" s="17"/>
      <c r="B79" s="17"/>
      <c r="C79" s="17"/>
      <c r="D79" s="17"/>
      <c r="E79" s="17"/>
      <c r="F79" s="17"/>
      <c r="G79" s="17"/>
      <c r="H79" s="17"/>
      <c r="I79" s="17"/>
      <c r="J79" s="17"/>
      <c r="K79" s="17"/>
      <c r="L79" s="17"/>
      <c r="M79" s="17"/>
      <c r="N79" s="17"/>
      <c r="O79" s="17"/>
      <c r="P79" s="17"/>
      <c r="Q79" s="17"/>
      <c r="R79" s="307"/>
      <c r="S79" s="307"/>
      <c r="T79" s="307"/>
      <c r="U79" s="307"/>
      <c r="V79" s="307"/>
      <c r="W79" s="307"/>
      <c r="X79" s="307"/>
      <c r="Y79" s="307"/>
      <c r="Z79" s="307"/>
      <c r="AA79" s="307"/>
      <c r="AB79" s="307"/>
      <c r="AC79" s="307"/>
    </row>
    <row r="80" spans="1:32" ht="15" customHeight="1">
      <c r="A80" s="17"/>
      <c r="B80" s="17"/>
      <c r="C80" s="17"/>
      <c r="D80" s="17"/>
      <c r="E80" s="17"/>
      <c r="F80" s="17"/>
      <c r="G80" s="17"/>
      <c r="H80" s="17"/>
      <c r="I80" s="17"/>
      <c r="J80" s="17"/>
      <c r="K80" s="17"/>
      <c r="L80" s="17"/>
      <c r="M80" s="17"/>
      <c r="N80" s="17"/>
      <c r="O80" s="17"/>
      <c r="P80" s="17"/>
      <c r="Q80" s="17"/>
      <c r="R80" s="307"/>
      <c r="S80" s="307"/>
      <c r="T80" s="307"/>
      <c r="U80" s="307"/>
      <c r="V80" s="307"/>
      <c r="W80" s="307"/>
      <c r="X80" s="307"/>
      <c r="Y80" s="307"/>
      <c r="Z80" s="307"/>
      <c r="AA80" s="307"/>
      <c r="AB80" s="307"/>
      <c r="AC80" s="307"/>
    </row>
    <row r="81" spans="1:29" ht="15" customHeight="1">
      <c r="A81" s="17"/>
      <c r="B81" s="17"/>
      <c r="C81" s="17"/>
      <c r="D81" s="17"/>
      <c r="E81" s="17"/>
      <c r="F81" s="17"/>
      <c r="G81" s="17"/>
      <c r="H81" s="17"/>
      <c r="I81" s="17"/>
      <c r="J81" s="17"/>
      <c r="K81" s="17"/>
      <c r="L81" s="17"/>
      <c r="M81" s="17"/>
      <c r="N81" s="17"/>
      <c r="O81" s="17"/>
      <c r="P81" s="17"/>
      <c r="Q81" s="17"/>
      <c r="R81" s="307"/>
      <c r="S81" s="307"/>
      <c r="T81" s="307"/>
      <c r="U81" s="307"/>
      <c r="V81" s="307"/>
      <c r="W81" s="307"/>
      <c r="X81" s="307"/>
      <c r="Y81" s="307"/>
      <c r="Z81" s="307"/>
      <c r="AA81" s="307"/>
      <c r="AB81" s="307"/>
      <c r="AC81" s="307"/>
    </row>
    <row r="82" spans="1:29" ht="15" customHeight="1">
      <c r="A82" s="17"/>
      <c r="B82" s="17"/>
      <c r="C82" s="17"/>
      <c r="D82" s="17"/>
      <c r="E82" s="17"/>
      <c r="F82" s="17"/>
      <c r="G82" s="17"/>
      <c r="H82" s="17"/>
      <c r="I82" s="17"/>
      <c r="J82" s="17"/>
      <c r="K82" s="17"/>
      <c r="L82" s="17"/>
      <c r="M82" s="17"/>
      <c r="N82" s="17"/>
      <c r="O82" s="17"/>
      <c r="P82" s="17"/>
      <c r="Q82" s="17"/>
      <c r="R82" s="307"/>
      <c r="S82" s="307"/>
      <c r="T82" s="307"/>
      <c r="U82" s="307"/>
      <c r="V82" s="307"/>
      <c r="W82" s="307"/>
      <c r="X82" s="307"/>
      <c r="Y82" s="307"/>
      <c r="Z82" s="307"/>
      <c r="AA82" s="307"/>
      <c r="AB82" s="307"/>
      <c r="AC82" s="307"/>
    </row>
    <row r="83" spans="1:29" ht="15" customHeight="1">
      <c r="A83" s="17"/>
      <c r="B83" s="17"/>
      <c r="C83" s="17"/>
      <c r="D83" s="17"/>
      <c r="E83" s="17"/>
      <c r="F83" s="17"/>
      <c r="G83" s="17"/>
      <c r="H83" s="17"/>
      <c r="I83" s="17"/>
      <c r="J83" s="17"/>
      <c r="K83" s="17"/>
      <c r="L83" s="17"/>
      <c r="M83" s="17"/>
      <c r="N83" s="17"/>
      <c r="O83" s="17"/>
      <c r="P83" s="17"/>
      <c r="Q83" s="17"/>
      <c r="R83" s="307"/>
      <c r="S83" s="307"/>
      <c r="T83" s="307"/>
      <c r="U83" s="307"/>
      <c r="V83" s="307"/>
      <c r="W83" s="307"/>
      <c r="X83" s="307"/>
      <c r="Y83" s="307"/>
      <c r="Z83" s="307"/>
      <c r="AA83" s="307"/>
      <c r="AB83" s="307"/>
      <c r="AC83" s="307"/>
    </row>
    <row r="84" spans="1:29" ht="15" customHeight="1">
      <c r="A84" s="17"/>
      <c r="B84" s="17"/>
      <c r="C84" s="17"/>
      <c r="D84" s="17"/>
      <c r="E84" s="17"/>
      <c r="F84" s="17"/>
      <c r="G84" s="17"/>
      <c r="H84" s="17"/>
      <c r="I84" s="17"/>
      <c r="J84" s="17"/>
      <c r="K84" s="17"/>
      <c r="L84" s="17"/>
      <c r="M84" s="17"/>
      <c r="N84" s="17"/>
      <c r="O84" s="17"/>
      <c r="P84" s="17"/>
      <c r="Q84" s="17"/>
      <c r="R84" s="307"/>
      <c r="S84" s="307"/>
      <c r="T84" s="307"/>
      <c r="U84" s="307"/>
      <c r="V84" s="307"/>
      <c r="W84" s="307"/>
      <c r="X84" s="307"/>
      <c r="Y84" s="307"/>
      <c r="Z84" s="307"/>
      <c r="AA84" s="307"/>
      <c r="AB84" s="307"/>
      <c r="AC84" s="307"/>
    </row>
    <row r="85" spans="1:29" ht="15" customHeight="1">
      <c r="A85" s="17"/>
      <c r="B85" s="17"/>
      <c r="C85" s="17"/>
      <c r="D85" s="17"/>
      <c r="E85" s="17"/>
      <c r="F85" s="17"/>
      <c r="G85" s="17"/>
      <c r="H85" s="17"/>
      <c r="I85" s="17"/>
      <c r="J85" s="17"/>
      <c r="K85" s="17"/>
      <c r="L85" s="17"/>
      <c r="M85" s="17"/>
      <c r="N85" s="17"/>
      <c r="O85" s="17"/>
      <c r="P85" s="17"/>
      <c r="Q85" s="17"/>
      <c r="R85" s="307"/>
      <c r="S85" s="307"/>
      <c r="T85" s="307"/>
      <c r="U85" s="307"/>
      <c r="V85" s="307"/>
      <c r="W85" s="307"/>
      <c r="X85" s="307"/>
      <c r="Y85" s="307"/>
      <c r="Z85" s="307"/>
      <c r="AA85" s="307"/>
      <c r="AB85" s="307"/>
      <c r="AC85" s="307"/>
    </row>
    <row r="86" spans="1:29" ht="15" customHeight="1">
      <c r="A86" s="17"/>
      <c r="B86" s="17"/>
      <c r="C86" s="17"/>
      <c r="D86" s="17"/>
      <c r="E86" s="17"/>
      <c r="F86" s="17"/>
      <c r="G86" s="17"/>
      <c r="H86" s="17"/>
      <c r="I86" s="17"/>
      <c r="J86" s="17"/>
      <c r="K86" s="17"/>
      <c r="L86" s="17"/>
      <c r="M86" s="17"/>
      <c r="N86" s="17"/>
      <c r="O86" s="17"/>
      <c r="P86" s="17"/>
      <c r="Q86" s="17"/>
      <c r="R86" s="307"/>
      <c r="S86" s="307"/>
      <c r="T86" s="307"/>
      <c r="U86" s="307"/>
      <c r="V86" s="307"/>
      <c r="W86" s="307"/>
      <c r="X86" s="307"/>
      <c r="Y86" s="307"/>
      <c r="Z86" s="307"/>
      <c r="AA86" s="307"/>
      <c r="AB86" s="307"/>
      <c r="AC86" s="307"/>
    </row>
    <row r="87" spans="1:29" ht="15" customHeight="1">
      <c r="A87" s="17"/>
      <c r="B87" s="17"/>
      <c r="C87" s="17"/>
      <c r="D87" s="17"/>
      <c r="E87" s="17"/>
      <c r="F87" s="17"/>
      <c r="G87" s="17"/>
      <c r="H87" s="17"/>
      <c r="I87" s="17"/>
      <c r="J87" s="17"/>
      <c r="K87" s="17"/>
      <c r="L87" s="17"/>
      <c r="M87" s="17"/>
      <c r="N87" s="17"/>
      <c r="O87" s="17"/>
      <c r="P87" s="17"/>
      <c r="Q87" s="17"/>
      <c r="R87" s="307"/>
      <c r="S87" s="307"/>
      <c r="T87" s="307"/>
      <c r="U87" s="307"/>
      <c r="V87" s="307"/>
      <c r="W87" s="307"/>
      <c r="X87" s="307"/>
      <c r="Y87" s="307"/>
      <c r="Z87" s="307"/>
      <c r="AA87" s="307"/>
      <c r="AB87" s="307"/>
      <c r="AC87" s="307"/>
    </row>
    <row r="88" spans="1:29" ht="15" customHeight="1">
      <c r="A88" s="17"/>
      <c r="B88" s="17"/>
      <c r="C88" s="17"/>
      <c r="D88" s="17"/>
      <c r="E88" s="17"/>
      <c r="F88" s="17"/>
      <c r="G88" s="17"/>
      <c r="H88" s="17"/>
      <c r="I88" s="17"/>
      <c r="J88" s="17"/>
      <c r="K88" s="17"/>
      <c r="L88" s="17"/>
      <c r="M88" s="17"/>
      <c r="N88" s="17"/>
      <c r="O88" s="17"/>
      <c r="P88" s="17"/>
      <c r="Q88" s="17"/>
      <c r="R88" s="307"/>
      <c r="S88" s="307"/>
      <c r="T88" s="307"/>
      <c r="U88" s="307"/>
      <c r="V88" s="307"/>
      <c r="W88" s="307"/>
      <c r="X88" s="307"/>
      <c r="Y88" s="307"/>
      <c r="Z88" s="307"/>
      <c r="AA88" s="307"/>
      <c r="AB88" s="307"/>
      <c r="AC88" s="307"/>
    </row>
    <row r="89" spans="1:29" ht="15" customHeight="1">
      <c r="A89" s="17"/>
      <c r="B89" s="17"/>
      <c r="C89" s="17"/>
      <c r="D89" s="17"/>
      <c r="E89" s="17"/>
      <c r="F89" s="17"/>
      <c r="G89" s="17"/>
      <c r="H89" s="17"/>
      <c r="I89" s="17"/>
      <c r="J89" s="17"/>
      <c r="K89" s="17"/>
      <c r="L89" s="17"/>
      <c r="M89" s="17"/>
      <c r="N89" s="17"/>
      <c r="O89" s="17"/>
      <c r="P89" s="17"/>
      <c r="Q89" s="17"/>
      <c r="R89" s="307"/>
      <c r="S89" s="307"/>
      <c r="T89" s="307"/>
      <c r="U89" s="307"/>
      <c r="V89" s="307"/>
      <c r="W89" s="307"/>
      <c r="X89" s="307"/>
      <c r="Y89" s="307"/>
      <c r="Z89" s="307"/>
      <c r="AA89" s="307"/>
      <c r="AB89" s="307"/>
      <c r="AC89" s="307"/>
    </row>
    <row r="90" spans="1:29" ht="15" customHeight="1">
      <c r="A90" s="17"/>
      <c r="B90" s="17"/>
      <c r="C90" s="17"/>
      <c r="D90" s="17"/>
      <c r="E90" s="17"/>
      <c r="F90" s="17"/>
      <c r="G90" s="17"/>
      <c r="H90" s="17"/>
      <c r="I90" s="17"/>
      <c r="J90" s="17"/>
      <c r="K90" s="17"/>
      <c r="L90" s="17"/>
      <c r="M90" s="17"/>
      <c r="N90" s="17"/>
      <c r="O90" s="17"/>
      <c r="P90" s="17"/>
      <c r="Q90" s="17"/>
      <c r="R90" s="307"/>
      <c r="S90" s="307"/>
      <c r="T90" s="307"/>
      <c r="U90" s="307"/>
      <c r="V90" s="307"/>
      <c r="W90" s="307"/>
      <c r="X90" s="307"/>
      <c r="Y90" s="307"/>
      <c r="Z90" s="307"/>
      <c r="AA90" s="307"/>
      <c r="AB90" s="307"/>
      <c r="AC90" s="307"/>
    </row>
    <row r="91" spans="1:29" ht="15" customHeight="1">
      <c r="A91" s="17"/>
      <c r="B91" s="17"/>
      <c r="C91" s="17"/>
      <c r="D91" s="17"/>
      <c r="E91" s="17"/>
      <c r="F91" s="17"/>
      <c r="G91" s="17"/>
      <c r="H91" s="17"/>
      <c r="I91" s="17"/>
      <c r="J91" s="17"/>
      <c r="K91" s="17"/>
      <c r="L91" s="17"/>
      <c r="M91" s="17"/>
      <c r="N91" s="17"/>
      <c r="O91" s="17"/>
      <c r="P91" s="17"/>
      <c r="Q91" s="17"/>
      <c r="R91" s="307"/>
      <c r="S91" s="307"/>
      <c r="T91" s="307"/>
      <c r="U91" s="307"/>
      <c r="V91" s="307"/>
      <c r="W91" s="307"/>
      <c r="X91" s="307"/>
      <c r="Y91" s="307"/>
      <c r="Z91" s="307"/>
      <c r="AA91" s="307"/>
      <c r="AB91" s="307"/>
      <c r="AC91" s="307"/>
    </row>
    <row r="92" spans="1:29" ht="15" customHeight="1">
      <c r="A92" s="17"/>
      <c r="B92" s="17"/>
      <c r="C92" s="17"/>
      <c r="D92" s="17"/>
      <c r="E92" s="17"/>
      <c r="F92" s="17"/>
      <c r="G92" s="17"/>
      <c r="H92" s="17"/>
      <c r="I92" s="17"/>
      <c r="J92" s="17"/>
      <c r="K92" s="17"/>
      <c r="L92" s="17"/>
      <c r="M92" s="17"/>
      <c r="N92" s="17"/>
      <c r="O92" s="17"/>
      <c r="P92" s="17"/>
      <c r="Q92" s="17"/>
      <c r="R92" s="307"/>
      <c r="S92" s="307"/>
      <c r="T92" s="307"/>
      <c r="U92" s="307"/>
      <c r="V92" s="307"/>
      <c r="W92" s="307"/>
      <c r="X92" s="307"/>
      <c r="Y92" s="307"/>
      <c r="Z92" s="307"/>
      <c r="AA92" s="307"/>
      <c r="AB92" s="307"/>
      <c r="AC92" s="307"/>
    </row>
    <row r="93" spans="1:29" ht="15" customHeight="1">
      <c r="A93" s="17"/>
      <c r="B93" s="17"/>
      <c r="C93" s="17"/>
      <c r="D93" s="17"/>
      <c r="E93" s="17"/>
      <c r="F93" s="17"/>
      <c r="G93" s="17"/>
      <c r="H93" s="17"/>
      <c r="I93" s="17"/>
      <c r="J93" s="17"/>
      <c r="K93" s="17"/>
      <c r="L93" s="17"/>
      <c r="M93" s="17"/>
      <c r="N93" s="17"/>
      <c r="O93" s="17"/>
      <c r="P93" s="17"/>
      <c r="Q93" s="17"/>
      <c r="R93" s="307"/>
      <c r="S93" s="307"/>
      <c r="T93" s="307"/>
      <c r="U93" s="307"/>
      <c r="V93" s="307"/>
      <c r="W93" s="307"/>
      <c r="X93" s="307"/>
      <c r="Y93" s="307"/>
      <c r="Z93" s="307"/>
      <c r="AA93" s="307"/>
      <c r="AB93" s="307"/>
      <c r="AC93" s="307"/>
    </row>
    <row r="94" spans="1:29" ht="15" customHeight="1">
      <c r="A94" s="17"/>
      <c r="B94" s="17"/>
      <c r="C94" s="17"/>
      <c r="D94" s="17"/>
      <c r="E94" s="17"/>
      <c r="F94" s="17"/>
      <c r="G94" s="17"/>
      <c r="H94" s="17"/>
      <c r="I94" s="17"/>
      <c r="J94" s="17"/>
      <c r="K94" s="17"/>
      <c r="L94" s="17"/>
      <c r="M94" s="17"/>
      <c r="N94" s="17"/>
      <c r="O94" s="17"/>
      <c r="P94" s="17"/>
      <c r="Q94" s="17"/>
      <c r="R94" s="307"/>
      <c r="S94" s="307"/>
      <c r="T94" s="307"/>
      <c r="U94" s="307"/>
      <c r="V94" s="307"/>
      <c r="W94" s="307"/>
      <c r="X94" s="307"/>
      <c r="Y94" s="307"/>
      <c r="Z94" s="307"/>
      <c r="AA94" s="307"/>
      <c r="AB94" s="307"/>
      <c r="AC94" s="307"/>
    </row>
    <row r="95" spans="1:29" ht="15" customHeight="1">
      <c r="A95" s="17"/>
      <c r="B95" s="17"/>
      <c r="C95" s="17"/>
      <c r="D95" s="17"/>
      <c r="E95" s="17"/>
      <c r="F95" s="17"/>
      <c r="G95" s="17"/>
      <c r="H95" s="17"/>
      <c r="I95" s="17"/>
      <c r="J95" s="17"/>
      <c r="K95" s="17"/>
      <c r="L95" s="17"/>
      <c r="M95" s="17"/>
      <c r="N95" s="17"/>
      <c r="O95" s="17"/>
      <c r="P95" s="17"/>
      <c r="Q95" s="17"/>
      <c r="R95" s="307"/>
      <c r="S95" s="307"/>
      <c r="T95" s="307"/>
      <c r="U95" s="307"/>
      <c r="V95" s="307"/>
      <c r="W95" s="307"/>
      <c r="X95" s="307"/>
      <c r="Y95" s="307"/>
      <c r="Z95" s="307"/>
      <c r="AA95" s="307"/>
      <c r="AB95" s="307"/>
      <c r="AC95" s="307"/>
    </row>
    <row r="96" spans="1:29" ht="15" customHeight="1">
      <c r="A96" s="17"/>
      <c r="B96" s="17"/>
      <c r="C96" s="17"/>
      <c r="D96" s="17"/>
      <c r="E96" s="17"/>
      <c r="F96" s="17"/>
      <c r="G96" s="17"/>
      <c r="H96" s="17"/>
      <c r="I96" s="17"/>
      <c r="J96" s="17"/>
      <c r="K96" s="17"/>
      <c r="L96" s="17"/>
      <c r="M96" s="17"/>
      <c r="N96" s="17"/>
      <c r="O96" s="17"/>
      <c r="P96" s="17"/>
      <c r="Q96" s="17"/>
      <c r="R96" s="307"/>
      <c r="S96" s="307"/>
      <c r="T96" s="307"/>
      <c r="U96" s="307"/>
      <c r="V96" s="307"/>
      <c r="W96" s="307"/>
      <c r="X96" s="307"/>
      <c r="Y96" s="307"/>
      <c r="Z96" s="307"/>
      <c r="AA96" s="307"/>
      <c r="AB96" s="307"/>
      <c r="AC96" s="307"/>
    </row>
    <row r="97" spans="1:29" ht="15" customHeight="1">
      <c r="A97" s="17"/>
      <c r="B97" s="17"/>
      <c r="C97" s="17"/>
      <c r="D97" s="17"/>
      <c r="E97" s="17"/>
      <c r="F97" s="17"/>
      <c r="G97" s="17"/>
      <c r="H97" s="17"/>
      <c r="I97" s="17"/>
      <c r="J97" s="17"/>
      <c r="K97" s="17"/>
      <c r="L97" s="17"/>
      <c r="M97" s="17"/>
      <c r="N97" s="17"/>
      <c r="O97" s="17"/>
      <c r="P97" s="17"/>
      <c r="Q97" s="17"/>
      <c r="R97" s="307"/>
      <c r="S97" s="307"/>
      <c r="T97" s="307"/>
      <c r="U97" s="307"/>
      <c r="V97" s="307"/>
      <c r="W97" s="307"/>
      <c r="X97" s="307"/>
      <c r="Y97" s="307"/>
      <c r="Z97" s="307"/>
      <c r="AA97" s="307"/>
      <c r="AB97" s="307"/>
      <c r="AC97" s="307"/>
    </row>
    <row r="98" spans="1:29" ht="15" customHeight="1">
      <c r="A98" s="17"/>
      <c r="B98" s="17"/>
      <c r="C98" s="17"/>
      <c r="D98" s="17"/>
      <c r="E98" s="17"/>
      <c r="F98" s="17"/>
      <c r="G98" s="17"/>
      <c r="H98" s="17"/>
      <c r="I98" s="17"/>
      <c r="J98" s="17"/>
      <c r="K98" s="17"/>
      <c r="L98" s="17"/>
      <c r="M98" s="17"/>
      <c r="N98" s="17"/>
      <c r="O98" s="17"/>
      <c r="P98" s="17"/>
      <c r="Q98" s="17"/>
      <c r="R98" s="307"/>
      <c r="S98" s="307"/>
      <c r="T98" s="307"/>
      <c r="U98" s="307"/>
      <c r="V98" s="307"/>
      <c r="W98" s="307"/>
      <c r="X98" s="307"/>
      <c r="Y98" s="307"/>
      <c r="Z98" s="307"/>
      <c r="AA98" s="307"/>
      <c r="AB98" s="307"/>
      <c r="AC98" s="307"/>
    </row>
    <row r="99" spans="1:29" ht="15" customHeight="1">
      <c r="A99" s="17"/>
      <c r="B99" s="17"/>
      <c r="C99" s="17"/>
      <c r="D99" s="17"/>
      <c r="E99" s="17"/>
      <c r="F99" s="17"/>
      <c r="G99" s="17"/>
      <c r="H99" s="17"/>
      <c r="I99" s="17"/>
      <c r="J99" s="17"/>
      <c r="K99" s="17"/>
      <c r="L99" s="17"/>
      <c r="M99" s="17"/>
      <c r="N99" s="17"/>
      <c r="O99" s="17"/>
      <c r="P99" s="17"/>
      <c r="Q99" s="17"/>
      <c r="R99" s="307"/>
      <c r="S99" s="307"/>
      <c r="T99" s="307"/>
      <c r="U99" s="307"/>
      <c r="V99" s="307"/>
      <c r="W99" s="307"/>
      <c r="X99" s="307"/>
      <c r="Y99" s="307"/>
      <c r="Z99" s="307"/>
      <c r="AA99" s="307"/>
      <c r="AB99" s="307"/>
      <c r="AC99" s="307"/>
    </row>
    <row r="100" spans="1:29" ht="15" customHeight="1">
      <c r="A100" s="17"/>
      <c r="B100" s="17"/>
      <c r="C100" s="17"/>
      <c r="D100" s="17"/>
      <c r="E100" s="17"/>
      <c r="F100" s="17"/>
      <c r="G100" s="17"/>
      <c r="H100" s="17"/>
      <c r="I100" s="17"/>
      <c r="J100" s="17"/>
      <c r="K100" s="17"/>
      <c r="L100" s="17"/>
      <c r="M100" s="17"/>
      <c r="N100" s="17"/>
      <c r="O100" s="17"/>
      <c r="P100" s="17"/>
      <c r="Q100" s="17"/>
      <c r="R100" s="307"/>
      <c r="S100" s="307"/>
      <c r="T100" s="307"/>
      <c r="U100" s="307"/>
      <c r="V100" s="307"/>
      <c r="W100" s="307"/>
      <c r="X100" s="307"/>
      <c r="Y100" s="307"/>
      <c r="Z100" s="307"/>
      <c r="AA100" s="307"/>
      <c r="AB100" s="307"/>
      <c r="AC100" s="307"/>
    </row>
    <row r="101" spans="1:29" ht="15" customHeight="1">
      <c r="A101" s="17"/>
      <c r="B101" s="17"/>
      <c r="C101" s="17"/>
      <c r="D101" s="17"/>
      <c r="E101" s="17"/>
      <c r="F101" s="17"/>
      <c r="G101" s="17"/>
      <c r="H101" s="17"/>
      <c r="I101" s="17"/>
      <c r="J101" s="17"/>
      <c r="K101" s="17"/>
      <c r="L101" s="17"/>
      <c r="M101" s="17"/>
      <c r="N101" s="17"/>
      <c r="O101" s="17"/>
      <c r="P101" s="17"/>
      <c r="Q101" s="17"/>
      <c r="R101" s="307"/>
      <c r="S101" s="307"/>
      <c r="T101" s="307"/>
      <c r="U101" s="307"/>
      <c r="V101" s="307"/>
      <c r="W101" s="307"/>
      <c r="X101" s="307"/>
      <c r="Y101" s="307"/>
      <c r="Z101" s="307"/>
      <c r="AA101" s="307"/>
      <c r="AB101" s="307"/>
      <c r="AC101" s="307"/>
    </row>
    <row r="102" spans="1:29" ht="15" customHeight="1">
      <c r="A102" s="17"/>
      <c r="B102" s="17"/>
      <c r="C102" s="17"/>
      <c r="D102" s="17"/>
      <c r="E102" s="17"/>
      <c r="F102" s="17"/>
      <c r="G102" s="17"/>
      <c r="H102" s="17"/>
      <c r="I102" s="17"/>
      <c r="J102" s="17"/>
      <c r="K102" s="17"/>
      <c r="L102" s="17"/>
      <c r="M102" s="17"/>
      <c r="N102" s="17"/>
      <c r="O102" s="17"/>
      <c r="P102" s="17"/>
      <c r="Q102" s="17"/>
      <c r="R102" s="307"/>
      <c r="S102" s="307"/>
      <c r="T102" s="307"/>
      <c r="U102" s="307"/>
      <c r="V102" s="307"/>
      <c r="W102" s="307"/>
      <c r="X102" s="307"/>
      <c r="Y102" s="307"/>
      <c r="Z102" s="307"/>
      <c r="AA102" s="307"/>
      <c r="AB102" s="307"/>
      <c r="AC102" s="307"/>
    </row>
    <row r="103" spans="1:29" ht="15" customHeight="1">
      <c r="A103" s="17"/>
      <c r="B103" s="17"/>
      <c r="C103" s="17"/>
      <c r="D103" s="17"/>
      <c r="E103" s="17"/>
      <c r="F103" s="17"/>
      <c r="G103" s="17"/>
      <c r="H103" s="17"/>
      <c r="I103" s="17"/>
      <c r="J103" s="17"/>
      <c r="K103" s="17"/>
      <c r="L103" s="17"/>
      <c r="M103" s="17"/>
      <c r="N103" s="17"/>
      <c r="O103" s="17"/>
      <c r="P103" s="17"/>
      <c r="Q103" s="17"/>
      <c r="R103" s="307"/>
      <c r="S103" s="307"/>
      <c r="T103" s="307"/>
      <c r="U103" s="307"/>
      <c r="V103" s="307"/>
      <c r="W103" s="307"/>
      <c r="X103" s="307"/>
      <c r="Y103" s="307"/>
      <c r="Z103" s="307"/>
      <c r="AA103" s="307"/>
      <c r="AB103" s="307"/>
      <c r="AC103" s="307"/>
    </row>
    <row r="104" spans="1:29" ht="15" customHeight="1">
      <c r="A104" s="17"/>
      <c r="B104" s="17"/>
      <c r="C104" s="17"/>
      <c r="D104" s="17"/>
      <c r="E104" s="17"/>
      <c r="F104" s="17"/>
      <c r="G104" s="17"/>
      <c r="H104" s="17"/>
      <c r="I104" s="17"/>
      <c r="J104" s="17"/>
      <c r="K104" s="17"/>
      <c r="L104" s="17"/>
      <c r="M104" s="17"/>
      <c r="N104" s="17"/>
      <c r="O104" s="17"/>
      <c r="P104" s="17"/>
      <c r="Q104" s="17"/>
      <c r="R104" s="307"/>
      <c r="S104" s="307"/>
      <c r="T104" s="307"/>
      <c r="U104" s="307"/>
      <c r="V104" s="307"/>
      <c r="W104" s="307"/>
      <c r="X104" s="307"/>
      <c r="Y104" s="307"/>
      <c r="Z104" s="307"/>
      <c r="AA104" s="307"/>
      <c r="AB104" s="307"/>
      <c r="AC104" s="307"/>
    </row>
    <row r="105" spans="1:29" ht="15" customHeight="1">
      <c r="A105" s="17"/>
      <c r="B105" s="17"/>
      <c r="C105" s="17"/>
      <c r="D105" s="17"/>
      <c r="E105" s="17"/>
      <c r="F105" s="17"/>
      <c r="G105" s="17"/>
      <c r="H105" s="17"/>
      <c r="I105" s="17"/>
      <c r="J105" s="17"/>
      <c r="K105" s="17"/>
      <c r="L105" s="17"/>
      <c r="M105" s="17"/>
      <c r="N105" s="17"/>
      <c r="O105" s="17"/>
      <c r="P105" s="17"/>
      <c r="Q105" s="17"/>
      <c r="R105" s="307"/>
      <c r="S105" s="307"/>
      <c r="T105" s="307"/>
      <c r="U105" s="307"/>
      <c r="V105" s="307"/>
      <c r="W105" s="307"/>
      <c r="X105" s="307"/>
      <c r="Y105" s="307"/>
      <c r="Z105" s="307"/>
      <c r="AA105" s="307"/>
      <c r="AB105" s="307"/>
      <c r="AC105" s="307"/>
    </row>
    <row r="106" spans="1:29" ht="15" customHeight="1">
      <c r="A106" s="17"/>
      <c r="B106" s="17"/>
      <c r="C106" s="17"/>
      <c r="D106" s="17"/>
      <c r="E106" s="17"/>
      <c r="F106" s="17"/>
      <c r="G106" s="17"/>
      <c r="H106" s="17"/>
      <c r="I106" s="17"/>
      <c r="J106" s="17"/>
      <c r="K106" s="17"/>
      <c r="L106" s="17"/>
      <c r="M106" s="17"/>
      <c r="N106" s="17"/>
      <c r="O106" s="17"/>
      <c r="P106" s="17"/>
      <c r="Q106" s="17"/>
    </row>
    <row r="107" spans="1:29" ht="15" customHeight="1">
      <c r="A107" s="17"/>
      <c r="B107" s="17"/>
      <c r="C107" s="17"/>
      <c r="D107" s="17"/>
      <c r="E107" s="17"/>
      <c r="F107" s="17"/>
      <c r="G107" s="17"/>
      <c r="H107" s="17"/>
      <c r="I107" s="17"/>
      <c r="J107" s="17"/>
      <c r="K107" s="17"/>
      <c r="L107" s="17"/>
      <c r="M107" s="17"/>
      <c r="N107" s="17"/>
      <c r="O107" s="17"/>
      <c r="P107" s="17"/>
      <c r="Q107" s="17"/>
    </row>
    <row r="108" spans="1:29" ht="15" customHeight="1">
      <c r="A108" s="17"/>
      <c r="B108" s="17"/>
      <c r="C108" s="17"/>
      <c r="D108" s="17"/>
      <c r="E108" s="17"/>
      <c r="F108" s="17"/>
      <c r="G108" s="17"/>
      <c r="H108" s="17"/>
      <c r="I108" s="17"/>
      <c r="J108" s="17"/>
      <c r="K108" s="17"/>
      <c r="L108" s="17"/>
      <c r="M108" s="17"/>
      <c r="N108" s="17"/>
      <c r="O108" s="17"/>
      <c r="P108" s="17"/>
      <c r="Q108" s="17"/>
    </row>
    <row r="109" spans="1:29" ht="15" customHeight="1">
      <c r="A109" s="17"/>
      <c r="B109" s="17"/>
      <c r="C109" s="17"/>
      <c r="D109" s="17"/>
      <c r="E109" s="17"/>
      <c r="F109" s="17"/>
      <c r="G109" s="17"/>
      <c r="H109" s="17"/>
      <c r="I109" s="17"/>
      <c r="J109" s="17"/>
      <c r="K109" s="17"/>
      <c r="L109" s="17"/>
      <c r="M109" s="17"/>
      <c r="N109" s="17"/>
      <c r="O109" s="17"/>
      <c r="P109" s="17"/>
      <c r="Q109" s="17"/>
    </row>
    <row r="110" spans="1:29" ht="15" customHeight="1">
      <c r="A110" s="17"/>
      <c r="B110" s="17"/>
      <c r="C110" s="17"/>
      <c r="D110" s="17"/>
      <c r="E110" s="17"/>
      <c r="F110" s="17"/>
      <c r="G110" s="17"/>
      <c r="H110" s="17"/>
      <c r="I110" s="17"/>
      <c r="J110" s="17"/>
      <c r="K110" s="17"/>
      <c r="L110" s="17"/>
      <c r="M110" s="17"/>
      <c r="N110" s="17"/>
      <c r="O110" s="17"/>
      <c r="P110" s="17"/>
      <c r="Q110" s="17"/>
    </row>
    <row r="111" spans="1:29" ht="15" customHeight="1">
      <c r="A111" s="17"/>
      <c r="B111" s="17"/>
      <c r="C111" s="17"/>
      <c r="D111" s="17"/>
      <c r="E111" s="17"/>
      <c r="F111" s="17"/>
      <c r="G111" s="17"/>
      <c r="H111" s="17"/>
      <c r="I111" s="17"/>
      <c r="J111" s="17"/>
      <c r="K111" s="17"/>
      <c r="L111" s="17"/>
      <c r="M111" s="17"/>
      <c r="N111" s="17"/>
      <c r="O111" s="17"/>
      <c r="P111" s="17"/>
      <c r="Q111" s="17"/>
    </row>
    <row r="112" spans="1:29" ht="15" customHeight="1">
      <c r="A112" s="17"/>
      <c r="B112" s="17"/>
      <c r="C112" s="17"/>
      <c r="D112" s="17"/>
      <c r="E112" s="17"/>
      <c r="F112" s="17"/>
      <c r="G112" s="17"/>
      <c r="H112" s="17"/>
      <c r="I112" s="17"/>
      <c r="J112" s="17"/>
      <c r="K112" s="17"/>
      <c r="L112" s="17"/>
      <c r="M112" s="17"/>
      <c r="N112" s="17"/>
      <c r="O112" s="17"/>
      <c r="P112" s="17"/>
      <c r="Q112" s="17"/>
    </row>
    <row r="113" spans="1:17" ht="15" customHeight="1">
      <c r="A113" s="17"/>
      <c r="B113" s="17"/>
      <c r="C113" s="17"/>
      <c r="D113" s="17"/>
      <c r="E113" s="17"/>
      <c r="F113" s="17"/>
      <c r="G113" s="17"/>
      <c r="H113" s="17"/>
      <c r="I113" s="17"/>
      <c r="J113" s="17"/>
      <c r="K113" s="17"/>
      <c r="L113" s="17"/>
      <c r="M113" s="17"/>
      <c r="N113" s="17"/>
      <c r="O113" s="17"/>
      <c r="P113" s="17"/>
      <c r="Q113" s="17"/>
    </row>
    <row r="114" spans="1:17" ht="15" customHeight="1">
      <c r="A114" s="17"/>
      <c r="B114" s="17"/>
      <c r="C114" s="17"/>
      <c r="D114" s="17"/>
      <c r="E114" s="17"/>
      <c r="F114" s="17"/>
      <c r="G114" s="17"/>
      <c r="H114" s="17"/>
      <c r="I114" s="17"/>
      <c r="J114" s="17"/>
      <c r="K114" s="17"/>
      <c r="L114" s="17"/>
      <c r="M114" s="17"/>
      <c r="N114" s="17"/>
      <c r="O114" s="17"/>
      <c r="P114" s="17"/>
      <c r="Q114" s="17"/>
    </row>
    <row r="115" spans="1:17" ht="15" customHeight="1">
      <c r="A115" s="17"/>
      <c r="B115" s="17"/>
      <c r="C115" s="17"/>
      <c r="D115" s="17"/>
      <c r="E115" s="17"/>
      <c r="F115" s="17"/>
      <c r="G115" s="17"/>
      <c r="H115" s="17"/>
      <c r="I115" s="17"/>
      <c r="J115" s="17"/>
      <c r="K115" s="17"/>
      <c r="L115" s="17"/>
      <c r="M115" s="17"/>
      <c r="N115" s="17"/>
      <c r="O115" s="17"/>
      <c r="P115" s="17"/>
      <c r="Q115" s="17"/>
    </row>
    <row r="116" spans="1:17" ht="15" customHeight="1">
      <c r="A116" s="17"/>
      <c r="B116" s="17"/>
      <c r="C116" s="17"/>
      <c r="D116" s="17"/>
      <c r="E116" s="17"/>
      <c r="F116" s="17"/>
      <c r="G116" s="17"/>
      <c r="H116" s="17"/>
      <c r="I116" s="17"/>
      <c r="J116" s="17"/>
      <c r="K116" s="17"/>
      <c r="L116" s="17"/>
      <c r="M116" s="17"/>
      <c r="N116" s="17"/>
      <c r="O116" s="17"/>
      <c r="P116" s="17"/>
      <c r="Q116" s="17"/>
    </row>
    <row r="117" spans="1:17" ht="15" customHeight="1">
      <c r="A117" s="17"/>
      <c r="B117" s="17"/>
      <c r="C117" s="17"/>
      <c r="D117" s="17"/>
      <c r="E117" s="17"/>
      <c r="F117" s="17"/>
      <c r="G117" s="17"/>
      <c r="H117" s="17"/>
      <c r="I117" s="17"/>
      <c r="J117" s="17"/>
      <c r="K117" s="17"/>
      <c r="L117" s="17"/>
      <c r="M117" s="17"/>
      <c r="N117" s="17"/>
      <c r="O117" s="17"/>
      <c r="P117" s="17"/>
      <c r="Q117" s="17"/>
    </row>
    <row r="118" spans="1:17" ht="15" customHeight="1">
      <c r="A118" s="17"/>
      <c r="B118" s="17"/>
      <c r="C118" s="17"/>
      <c r="D118" s="17"/>
      <c r="E118" s="17"/>
      <c r="F118" s="17"/>
      <c r="G118" s="17"/>
      <c r="H118" s="17"/>
      <c r="I118" s="17"/>
      <c r="J118" s="17"/>
      <c r="K118" s="17"/>
      <c r="L118" s="17"/>
      <c r="M118" s="17"/>
      <c r="N118" s="17"/>
      <c r="O118" s="17"/>
      <c r="P118" s="17"/>
      <c r="Q118" s="17"/>
    </row>
    <row r="119" spans="1:17" ht="15" customHeight="1">
      <c r="A119" s="17"/>
      <c r="B119" s="17"/>
      <c r="C119" s="17"/>
      <c r="D119" s="17"/>
      <c r="E119" s="17"/>
      <c r="F119" s="17"/>
      <c r="G119" s="17"/>
      <c r="H119" s="17"/>
      <c r="I119" s="17"/>
      <c r="J119" s="17"/>
      <c r="K119" s="17"/>
      <c r="L119" s="17"/>
      <c r="M119" s="17"/>
      <c r="N119" s="17"/>
      <c r="O119" s="17"/>
      <c r="P119" s="17"/>
      <c r="Q119" s="17"/>
    </row>
    <row r="120" spans="1:17" ht="15" customHeight="1">
      <c r="A120" s="17"/>
      <c r="B120" s="17"/>
      <c r="C120" s="17"/>
      <c r="D120" s="17"/>
      <c r="E120" s="17"/>
      <c r="F120" s="17"/>
      <c r="G120" s="17"/>
      <c r="H120" s="17"/>
      <c r="I120" s="17"/>
      <c r="J120" s="17"/>
      <c r="K120" s="17"/>
      <c r="L120" s="17"/>
      <c r="M120" s="17"/>
      <c r="N120" s="17"/>
      <c r="O120" s="17"/>
      <c r="P120" s="17"/>
      <c r="Q120" s="17"/>
    </row>
    <row r="121" spans="1:17" ht="15" customHeight="1">
      <c r="A121" s="17"/>
      <c r="B121" s="17"/>
      <c r="C121" s="17"/>
      <c r="D121" s="17"/>
      <c r="E121" s="17"/>
      <c r="F121" s="17"/>
      <c r="G121" s="17"/>
      <c r="H121" s="17"/>
      <c r="I121" s="17"/>
      <c r="J121" s="17"/>
      <c r="K121" s="17"/>
      <c r="L121" s="17"/>
      <c r="M121" s="17"/>
      <c r="N121" s="17"/>
      <c r="O121" s="17"/>
      <c r="P121" s="17"/>
      <c r="Q121" s="17"/>
    </row>
    <row r="122" spans="1:17" ht="15" customHeight="1">
      <c r="A122" s="17"/>
      <c r="B122" s="17"/>
      <c r="C122" s="17"/>
      <c r="D122" s="17"/>
      <c r="E122" s="17"/>
      <c r="F122" s="17"/>
      <c r="G122" s="17"/>
      <c r="H122" s="17"/>
      <c r="I122" s="17"/>
      <c r="J122" s="17"/>
      <c r="K122" s="17"/>
      <c r="L122" s="17"/>
      <c r="M122" s="17"/>
      <c r="N122" s="17"/>
      <c r="O122" s="17"/>
      <c r="P122" s="17"/>
      <c r="Q122" s="17"/>
    </row>
    <row r="123" spans="1:17" ht="15" customHeight="1">
      <c r="A123" s="17"/>
      <c r="B123" s="17"/>
      <c r="C123" s="17"/>
      <c r="D123" s="17"/>
      <c r="E123" s="17"/>
      <c r="F123" s="17"/>
      <c r="G123" s="17"/>
      <c r="H123" s="17"/>
      <c r="I123" s="17"/>
      <c r="J123" s="17"/>
      <c r="K123" s="17"/>
      <c r="L123" s="17"/>
      <c r="M123" s="17"/>
      <c r="N123" s="17"/>
      <c r="O123" s="17"/>
      <c r="P123" s="17"/>
      <c r="Q123" s="17"/>
    </row>
    <row r="124" spans="1:17" ht="15" customHeight="1">
      <c r="A124" s="17"/>
      <c r="B124" s="17"/>
      <c r="C124" s="17"/>
      <c r="D124" s="17"/>
      <c r="E124" s="17"/>
      <c r="F124" s="17"/>
      <c r="G124" s="17"/>
      <c r="H124" s="17"/>
      <c r="I124" s="17"/>
      <c r="J124" s="17"/>
      <c r="K124" s="17"/>
      <c r="L124" s="17"/>
      <c r="M124" s="17"/>
      <c r="N124" s="17"/>
      <c r="O124" s="17"/>
      <c r="P124" s="17"/>
      <c r="Q124" s="17"/>
    </row>
    <row r="125" spans="1:17" ht="15" customHeight="1">
      <c r="A125" s="17"/>
      <c r="B125" s="17"/>
      <c r="C125" s="17"/>
      <c r="D125" s="17"/>
      <c r="E125" s="17"/>
      <c r="F125" s="17"/>
      <c r="G125" s="17"/>
      <c r="H125" s="17"/>
      <c r="I125" s="17"/>
      <c r="J125" s="17"/>
      <c r="K125" s="17"/>
      <c r="L125" s="17"/>
      <c r="M125" s="17"/>
      <c r="N125" s="17"/>
      <c r="O125" s="17"/>
      <c r="P125" s="17"/>
      <c r="Q125" s="17"/>
    </row>
    <row r="126" spans="1:17" ht="15" customHeight="1">
      <c r="A126" s="17"/>
      <c r="B126" s="17"/>
      <c r="C126" s="17"/>
      <c r="D126" s="17"/>
      <c r="E126" s="17"/>
      <c r="F126" s="17"/>
      <c r="G126" s="17"/>
      <c r="H126" s="17"/>
      <c r="I126" s="17"/>
      <c r="J126" s="17"/>
      <c r="K126" s="17"/>
      <c r="L126" s="17"/>
      <c r="M126" s="17"/>
      <c r="N126" s="17"/>
      <c r="O126" s="17"/>
      <c r="P126" s="17"/>
      <c r="Q126" s="17"/>
    </row>
    <row r="127" spans="1:17" ht="15" customHeight="1">
      <c r="A127" s="17"/>
      <c r="B127" s="17"/>
      <c r="C127" s="17"/>
      <c r="D127" s="17"/>
      <c r="E127" s="17"/>
      <c r="F127" s="17"/>
      <c r="G127" s="17"/>
      <c r="H127" s="17"/>
      <c r="I127" s="17"/>
      <c r="J127" s="17"/>
      <c r="K127" s="17"/>
      <c r="L127" s="17"/>
      <c r="M127" s="17"/>
      <c r="N127" s="17"/>
      <c r="O127" s="17"/>
      <c r="P127" s="17"/>
      <c r="Q127" s="17"/>
    </row>
    <row r="128" spans="1:17" ht="15" customHeight="1">
      <c r="A128" s="17"/>
      <c r="B128" s="17"/>
      <c r="C128" s="17"/>
      <c r="D128" s="17"/>
      <c r="E128" s="17"/>
      <c r="F128" s="17"/>
      <c r="G128" s="17"/>
      <c r="H128" s="17"/>
      <c r="I128" s="17"/>
      <c r="J128" s="17"/>
      <c r="K128" s="17"/>
      <c r="L128" s="17"/>
      <c r="M128" s="17"/>
      <c r="N128" s="17"/>
      <c r="O128" s="17"/>
      <c r="P128" s="17"/>
      <c r="Q128" s="17"/>
    </row>
    <row r="129" spans="1:17" ht="15" customHeight="1">
      <c r="A129" s="17"/>
      <c r="B129" s="17"/>
      <c r="C129" s="17"/>
      <c r="D129" s="17"/>
      <c r="E129" s="17"/>
      <c r="F129" s="17"/>
      <c r="G129" s="17"/>
      <c r="H129" s="17"/>
      <c r="I129" s="17"/>
      <c r="J129" s="17"/>
      <c r="K129" s="17"/>
      <c r="L129" s="17"/>
      <c r="M129" s="17"/>
      <c r="N129" s="17"/>
      <c r="O129" s="17"/>
      <c r="P129" s="17"/>
      <c r="Q129" s="17"/>
    </row>
    <row r="130" spans="1:17" ht="15" customHeight="1">
      <c r="A130" s="17"/>
      <c r="B130" s="17"/>
      <c r="C130" s="17"/>
      <c r="D130" s="17"/>
      <c r="E130" s="17"/>
      <c r="F130" s="17"/>
      <c r="G130" s="17"/>
      <c r="H130" s="17"/>
      <c r="I130" s="17"/>
      <c r="J130" s="17"/>
      <c r="K130" s="17"/>
      <c r="L130" s="17"/>
      <c r="M130" s="17"/>
      <c r="N130" s="17"/>
      <c r="O130" s="17"/>
      <c r="P130" s="17"/>
      <c r="Q130" s="17"/>
    </row>
    <row r="131" spans="1:17" ht="15" customHeight="1">
      <c r="A131" s="17"/>
      <c r="B131" s="17"/>
      <c r="C131" s="17"/>
      <c r="D131" s="17"/>
      <c r="E131" s="17"/>
      <c r="F131" s="17"/>
      <c r="G131" s="17"/>
      <c r="H131" s="17"/>
      <c r="I131" s="17"/>
      <c r="J131" s="17"/>
      <c r="K131" s="17"/>
      <c r="L131" s="17"/>
      <c r="M131" s="17"/>
      <c r="N131" s="17"/>
      <c r="O131" s="17"/>
      <c r="P131" s="17"/>
      <c r="Q131" s="17"/>
    </row>
    <row r="132" spans="1:17" ht="15" customHeight="1">
      <c r="A132" s="17"/>
      <c r="B132" s="17"/>
      <c r="C132" s="17"/>
      <c r="D132" s="17"/>
      <c r="E132" s="17"/>
      <c r="F132" s="17"/>
      <c r="G132" s="17"/>
      <c r="H132" s="17"/>
      <c r="I132" s="17"/>
      <c r="J132" s="17"/>
      <c r="K132" s="17"/>
      <c r="L132" s="17"/>
      <c r="M132" s="17"/>
      <c r="N132" s="17"/>
      <c r="O132" s="17"/>
      <c r="P132" s="17"/>
      <c r="Q132" s="17"/>
    </row>
    <row r="133" spans="1:17" ht="15" customHeight="1">
      <c r="A133" s="17"/>
      <c r="B133" s="17"/>
      <c r="C133" s="17"/>
      <c r="D133" s="17"/>
      <c r="E133" s="17"/>
      <c r="F133" s="17"/>
      <c r="G133" s="17"/>
      <c r="H133" s="17"/>
      <c r="I133" s="17"/>
      <c r="J133" s="17"/>
      <c r="K133" s="17"/>
      <c r="L133" s="17"/>
      <c r="M133" s="17"/>
      <c r="N133" s="17"/>
      <c r="O133" s="17"/>
      <c r="P133" s="17"/>
      <c r="Q133" s="17"/>
    </row>
    <row r="134" spans="1:17" ht="15" customHeight="1">
      <c r="A134" s="17"/>
      <c r="B134" s="17"/>
      <c r="C134" s="17"/>
      <c r="D134" s="17"/>
      <c r="E134" s="17"/>
      <c r="F134" s="17"/>
      <c r="G134" s="17"/>
      <c r="H134" s="17"/>
      <c r="I134" s="17"/>
      <c r="J134" s="17"/>
      <c r="K134" s="17"/>
      <c r="L134" s="17"/>
      <c r="M134" s="17"/>
      <c r="N134" s="17"/>
      <c r="O134" s="17"/>
      <c r="P134" s="17"/>
      <c r="Q134" s="17"/>
    </row>
    <row r="135" spans="1:17" ht="15" customHeight="1">
      <c r="A135" s="17"/>
      <c r="B135" s="17"/>
      <c r="C135" s="17"/>
      <c r="D135" s="17"/>
      <c r="E135" s="17"/>
      <c r="F135" s="17"/>
      <c r="G135" s="17"/>
      <c r="H135" s="17"/>
      <c r="I135" s="17"/>
      <c r="J135" s="17"/>
      <c r="K135" s="17"/>
      <c r="L135" s="17"/>
      <c r="M135" s="17"/>
      <c r="N135" s="17"/>
      <c r="O135" s="17"/>
      <c r="P135" s="17"/>
      <c r="Q135" s="17"/>
    </row>
    <row r="136" spans="1:17" ht="15" customHeight="1">
      <c r="A136" s="17"/>
      <c r="B136" s="17"/>
      <c r="C136" s="17"/>
      <c r="D136" s="17"/>
      <c r="E136" s="17"/>
      <c r="F136" s="17"/>
      <c r="G136" s="17"/>
      <c r="H136" s="17"/>
      <c r="I136" s="17"/>
      <c r="J136" s="17"/>
      <c r="K136" s="17"/>
      <c r="L136" s="17"/>
      <c r="M136" s="17"/>
      <c r="N136" s="17"/>
      <c r="O136" s="17"/>
      <c r="P136" s="17"/>
      <c r="Q136" s="17"/>
    </row>
    <row r="137" spans="1:17" ht="15" customHeight="1">
      <c r="A137" s="17"/>
      <c r="B137" s="17"/>
      <c r="C137" s="17"/>
      <c r="D137" s="17"/>
      <c r="E137" s="17"/>
      <c r="F137" s="17"/>
      <c r="G137" s="17"/>
      <c r="H137" s="17"/>
      <c r="I137" s="17"/>
      <c r="J137" s="17"/>
      <c r="K137" s="17"/>
      <c r="L137" s="17"/>
      <c r="M137" s="17"/>
      <c r="N137" s="17"/>
      <c r="O137" s="17"/>
      <c r="P137" s="17"/>
      <c r="Q137" s="17"/>
    </row>
    <row r="138" spans="1:17" ht="15" customHeight="1">
      <c r="A138" s="17"/>
      <c r="B138" s="17"/>
      <c r="C138" s="17"/>
      <c r="D138" s="17"/>
      <c r="E138" s="17"/>
      <c r="F138" s="17"/>
      <c r="G138" s="17"/>
      <c r="H138" s="17"/>
      <c r="I138" s="17"/>
      <c r="J138" s="17"/>
      <c r="K138" s="17"/>
      <c r="L138" s="17"/>
      <c r="M138" s="17"/>
      <c r="N138" s="17"/>
      <c r="O138" s="17"/>
      <c r="P138" s="17"/>
      <c r="Q138" s="17"/>
    </row>
    <row r="139" spans="1:17" ht="15" customHeight="1">
      <c r="A139" s="17"/>
      <c r="B139" s="17"/>
      <c r="C139" s="17"/>
      <c r="D139" s="17"/>
      <c r="E139" s="17"/>
      <c r="F139" s="17"/>
      <c r="G139" s="17"/>
      <c r="H139" s="17"/>
      <c r="I139" s="17"/>
      <c r="J139" s="17"/>
      <c r="K139" s="17"/>
      <c r="L139" s="17"/>
      <c r="M139" s="17"/>
      <c r="N139" s="17"/>
      <c r="O139" s="17"/>
      <c r="P139" s="17"/>
      <c r="Q139" s="17"/>
    </row>
    <row r="140" spans="1:17" ht="15" customHeight="1">
      <c r="A140" s="17"/>
      <c r="B140" s="17"/>
      <c r="C140" s="17"/>
      <c r="D140" s="17"/>
      <c r="E140" s="17"/>
      <c r="F140" s="17"/>
      <c r="G140" s="17"/>
      <c r="H140" s="17"/>
      <c r="I140" s="17"/>
      <c r="J140" s="17"/>
      <c r="K140" s="17"/>
      <c r="L140" s="17"/>
      <c r="M140" s="17"/>
      <c r="N140" s="17"/>
      <c r="O140" s="17"/>
      <c r="P140" s="17"/>
      <c r="Q140" s="17"/>
    </row>
    <row r="141" spans="1:17" ht="15" customHeight="1">
      <c r="A141" s="17"/>
      <c r="B141" s="17"/>
      <c r="C141" s="17"/>
      <c r="D141" s="17"/>
      <c r="E141" s="17"/>
      <c r="F141" s="17"/>
      <c r="G141" s="17"/>
      <c r="H141" s="17"/>
      <c r="I141" s="17"/>
      <c r="J141" s="17"/>
      <c r="K141" s="17"/>
      <c r="L141" s="17"/>
      <c r="M141" s="17"/>
      <c r="N141" s="17"/>
      <c r="O141" s="17"/>
      <c r="P141" s="17"/>
      <c r="Q141" s="17"/>
    </row>
    <row r="142" spans="1:17" ht="15" customHeight="1">
      <c r="A142" s="17"/>
      <c r="B142" s="17"/>
      <c r="C142" s="17"/>
      <c r="D142" s="17"/>
      <c r="E142" s="17"/>
      <c r="F142" s="17"/>
      <c r="G142" s="17"/>
      <c r="H142" s="17"/>
      <c r="I142" s="17"/>
      <c r="J142" s="17"/>
      <c r="K142" s="17"/>
      <c r="L142" s="17"/>
      <c r="M142" s="17"/>
      <c r="N142" s="17"/>
      <c r="O142" s="17"/>
      <c r="P142" s="17"/>
      <c r="Q142" s="17"/>
    </row>
    <row r="143" spans="1:17" ht="15" customHeight="1">
      <c r="A143" s="17"/>
      <c r="B143" s="17"/>
      <c r="C143" s="17"/>
      <c r="D143" s="17"/>
      <c r="E143" s="17"/>
      <c r="F143" s="17"/>
      <c r="G143" s="17"/>
      <c r="H143" s="17"/>
      <c r="I143" s="17"/>
      <c r="J143" s="17"/>
      <c r="K143" s="17"/>
      <c r="L143" s="17"/>
      <c r="M143" s="17"/>
      <c r="N143" s="17"/>
      <c r="O143" s="17"/>
      <c r="P143" s="17"/>
      <c r="Q143" s="17"/>
    </row>
    <row r="144" spans="1:17" ht="15" customHeight="1">
      <c r="A144" s="17"/>
      <c r="B144" s="17"/>
      <c r="C144" s="17"/>
      <c r="D144" s="17"/>
      <c r="E144" s="17"/>
      <c r="F144" s="17"/>
      <c r="G144" s="17"/>
      <c r="H144" s="17"/>
      <c r="I144" s="17"/>
      <c r="J144" s="17"/>
      <c r="K144" s="17"/>
      <c r="L144" s="17"/>
      <c r="M144" s="17"/>
      <c r="N144" s="17"/>
      <c r="O144" s="17"/>
      <c r="P144" s="17"/>
      <c r="Q144" s="17"/>
    </row>
    <row r="145" spans="1:17" ht="15" customHeight="1">
      <c r="A145" s="17"/>
      <c r="B145" s="17"/>
      <c r="C145" s="17"/>
      <c r="D145" s="17"/>
      <c r="E145" s="17"/>
      <c r="F145" s="17"/>
      <c r="G145" s="17"/>
      <c r="H145" s="17"/>
      <c r="I145" s="17"/>
      <c r="J145" s="17"/>
      <c r="K145" s="17"/>
      <c r="L145" s="17"/>
      <c r="M145" s="17"/>
      <c r="N145" s="17"/>
      <c r="O145" s="17"/>
      <c r="P145" s="17"/>
      <c r="Q145" s="17"/>
    </row>
    <row r="146" spans="1:17" ht="15" customHeight="1">
      <c r="A146" s="17"/>
      <c r="B146" s="17"/>
      <c r="C146" s="17"/>
      <c r="D146" s="17"/>
      <c r="E146" s="17"/>
      <c r="F146" s="17"/>
      <c r="G146" s="17"/>
      <c r="H146" s="17"/>
      <c r="I146" s="17"/>
      <c r="J146" s="17"/>
      <c r="K146" s="17"/>
      <c r="L146" s="17"/>
      <c r="M146" s="17"/>
      <c r="N146" s="17"/>
      <c r="O146" s="17"/>
      <c r="P146" s="17"/>
      <c r="Q146" s="17"/>
    </row>
    <row r="147" spans="1:17" ht="15" customHeight="1">
      <c r="A147" s="17"/>
      <c r="B147" s="17"/>
      <c r="C147" s="17"/>
      <c r="D147" s="17"/>
      <c r="E147" s="17"/>
      <c r="F147" s="17"/>
      <c r="G147" s="17"/>
      <c r="H147" s="17"/>
      <c r="I147" s="17"/>
      <c r="J147" s="17"/>
      <c r="K147" s="17"/>
      <c r="L147" s="17"/>
      <c r="M147" s="17"/>
      <c r="N147" s="17"/>
      <c r="O147" s="17"/>
      <c r="P147" s="17"/>
      <c r="Q147" s="17"/>
    </row>
    <row r="148" spans="1:17" ht="15" customHeight="1">
      <c r="A148" s="17"/>
      <c r="B148" s="17"/>
      <c r="C148" s="17"/>
      <c r="D148" s="17"/>
      <c r="E148" s="17"/>
      <c r="F148" s="17"/>
      <c r="G148" s="17"/>
      <c r="H148" s="17"/>
      <c r="I148" s="17"/>
      <c r="J148" s="17"/>
      <c r="K148" s="17"/>
      <c r="L148" s="17"/>
      <c r="M148" s="17"/>
      <c r="N148" s="17"/>
      <c r="O148" s="17"/>
      <c r="P148" s="17"/>
      <c r="Q148" s="17"/>
    </row>
    <row r="149" spans="1:17" ht="15" customHeight="1">
      <c r="A149" s="17"/>
      <c r="B149" s="17"/>
      <c r="C149" s="17"/>
      <c r="D149" s="17"/>
      <c r="E149" s="17"/>
      <c r="F149" s="17"/>
      <c r="G149" s="17"/>
      <c r="H149" s="17"/>
      <c r="I149" s="17"/>
      <c r="J149" s="17"/>
      <c r="K149" s="17"/>
      <c r="L149" s="17"/>
      <c r="M149" s="17"/>
      <c r="N149" s="17"/>
      <c r="O149" s="17"/>
      <c r="P149" s="17"/>
      <c r="Q149" s="17"/>
    </row>
    <row r="150" spans="1:17" ht="15" customHeight="1">
      <c r="A150" s="17"/>
      <c r="B150" s="17"/>
      <c r="C150" s="17"/>
      <c r="D150" s="17"/>
      <c r="E150" s="17"/>
      <c r="F150" s="17"/>
      <c r="G150" s="17"/>
      <c r="H150" s="17"/>
      <c r="I150" s="17"/>
      <c r="J150" s="17"/>
      <c r="K150" s="17"/>
      <c r="L150" s="17"/>
      <c r="M150" s="17"/>
      <c r="N150" s="17"/>
      <c r="O150" s="17"/>
      <c r="P150" s="17"/>
      <c r="Q150" s="17"/>
    </row>
  </sheetData>
  <sheetProtection password="8BE7" sheet="1" objects="1" scenarios="1"/>
  <dataConsolidate/>
  <mergeCells count="65">
    <mergeCell ref="A6:Q6"/>
    <mergeCell ref="M10:O10"/>
    <mergeCell ref="G8:H8"/>
    <mergeCell ref="C10:F10"/>
    <mergeCell ref="G10:H10"/>
    <mergeCell ref="R11:U11"/>
    <mergeCell ref="A12:Q13"/>
    <mergeCell ref="C8:F8"/>
    <mergeCell ref="M8:O8"/>
    <mergeCell ref="A7:P7"/>
    <mergeCell ref="T5:W5"/>
    <mergeCell ref="T4:W4"/>
    <mergeCell ref="A4:Q4"/>
    <mergeCell ref="A5:Q5"/>
    <mergeCell ref="C43:O43"/>
    <mergeCell ref="A11:P11"/>
    <mergeCell ref="K39"/>
    <mergeCell ref="D37:G37"/>
    <mergeCell ref="D26:G26"/>
    <mergeCell ref="D27:G27"/>
    <mergeCell ref="D28:G28"/>
    <mergeCell ref="D29:G29"/>
    <mergeCell ref="A35:C35"/>
    <mergeCell ref="A36:C36"/>
    <mergeCell ref="A37:C37"/>
    <mergeCell ref="A30:C30"/>
    <mergeCell ref="A27:C27"/>
    <mergeCell ref="D36:G36"/>
    <mergeCell ref="D32:G32"/>
    <mergeCell ref="D33:G33"/>
    <mergeCell ref="D34:G34"/>
    <mergeCell ref="A33:C33"/>
    <mergeCell ref="A34:C34"/>
    <mergeCell ref="C41:O41"/>
    <mergeCell ref="C42:O42"/>
    <mergeCell ref="D35:G35"/>
    <mergeCell ref="D23:G23"/>
    <mergeCell ref="D24:G24"/>
    <mergeCell ref="A28:C28"/>
    <mergeCell ref="D30:G30"/>
    <mergeCell ref="D31:G31"/>
    <mergeCell ref="A29:C29"/>
    <mergeCell ref="D25:G25"/>
    <mergeCell ref="A25:C25"/>
    <mergeCell ref="A26:C26"/>
    <mergeCell ref="A24:C24"/>
    <mergeCell ref="A23:C23"/>
    <mergeCell ref="A31:C31"/>
    <mergeCell ref="A32:C32"/>
    <mergeCell ref="A19:C19"/>
    <mergeCell ref="A20:C20"/>
    <mergeCell ref="A21:C21"/>
    <mergeCell ref="D21:G21"/>
    <mergeCell ref="D22:G22"/>
    <mergeCell ref="D20:G20"/>
    <mergeCell ref="D19:G19"/>
    <mergeCell ref="A22:C22"/>
    <mergeCell ref="H14:Q14"/>
    <mergeCell ref="A18:C18"/>
    <mergeCell ref="A17:C17"/>
    <mergeCell ref="D17:G17"/>
    <mergeCell ref="D18:G18"/>
    <mergeCell ref="D14:G16"/>
    <mergeCell ref="H16:Q16"/>
    <mergeCell ref="A14:C16"/>
  </mergeCells>
  <phoneticPr fontId="2" type="noConversion"/>
  <conditionalFormatting sqref="G9:H9 G8">
    <cfRule type="expression" dxfId="3" priority="2" stopIfTrue="1">
      <formula>$E$27&lt;-15</formula>
    </cfRule>
  </conditionalFormatting>
  <conditionalFormatting sqref="G10">
    <cfRule type="expression" dxfId="2" priority="1" stopIfTrue="1">
      <formula>$E$27&lt;-15</formula>
    </cfRule>
  </conditionalFormatting>
  <hyperlinks>
    <hyperlink ref="T4:W4" location="Summary!A1" display="back to Summary" xr:uid="{00000000-0004-0000-0900-000000000000}"/>
    <hyperlink ref="T5:W5" location="'Protected Areas'!A1" display="back to Protected Areas" xr:uid="{00000000-0004-0000-0900-000001000000}"/>
  </hyperlinks>
  <printOptions horizontalCentered="1"/>
  <pageMargins left="0.196850393700787" right="0.196850393700787" top="0.5" bottom="0.196850393700787" header="0.39370078740157499" footer="0.15748031496063"/>
  <pageSetup paperSize="9" scale="71" orientation="landscape" horizontalDpi="300" verticalDpi="300" r:id="rId1"/>
  <headerFooter alignWithMargins="0">
    <oddHeader>&amp;L&amp;G</oddHeader>
    <oddFooter>&amp;L&amp;"Cambria,Regular"&amp;7Tel  : +98 (21) 4420 1601
&amp;K00+000Tel  :&amp;K000000 +98 (21) 4420 1768
Fax : +98 (21) 4420 1934&amp;C&amp;"Cambria,Regular"&amp;7-8-&amp;R&amp;"Cambria,Regular"&amp;7Design by  Ali Cheraghi
(BSEE)</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rgb="FFFFC000"/>
  </sheetPr>
  <dimension ref="A1:J73"/>
  <sheetViews>
    <sheetView showGridLines="0" view="pageBreakPreview" zoomScale="115" zoomScaleNormal="100" zoomScaleSheetLayoutView="115" workbookViewId="0">
      <pane ySplit="4" topLeftCell="A5" activePane="bottomLeft" state="frozen"/>
      <selection activeCell="P6" sqref="P6:T6"/>
      <selection pane="bottomLeft" activeCell="D3" sqref="D3:G3"/>
    </sheetView>
  </sheetViews>
  <sheetFormatPr defaultColWidth="9.140625" defaultRowHeight="12.75"/>
  <cols>
    <col min="1" max="1" width="40.7109375" style="57" customWidth="1"/>
    <col min="2" max="3" width="16.7109375" style="57" customWidth="1"/>
    <col min="4" max="5" width="5.5703125" style="57" customWidth="1"/>
    <col min="6" max="16384" width="9.140625" style="57"/>
  </cols>
  <sheetData>
    <row r="1" spans="1:10" ht="50.1" customHeight="1">
      <c r="A1" s="661"/>
      <c r="B1" s="661"/>
      <c r="C1" s="661"/>
    </row>
    <row r="2" spans="1:10" ht="20.100000000000001" customHeight="1" thickBot="1">
      <c r="A2" s="180"/>
      <c r="B2" s="180"/>
      <c r="C2" s="180"/>
    </row>
    <row r="3" spans="1:10" ht="21.2" customHeight="1" thickBot="1">
      <c r="A3" s="662" t="s">
        <v>82</v>
      </c>
      <c r="B3" s="663"/>
      <c r="C3" s="664"/>
      <c r="D3" s="502" t="s">
        <v>537</v>
      </c>
      <c r="E3" s="502"/>
      <c r="F3" s="502"/>
      <c r="G3" s="502"/>
    </row>
    <row r="4" spans="1:10" ht="30.2" customHeight="1" thickBot="1">
      <c r="A4" s="156" t="s">
        <v>83</v>
      </c>
      <c r="B4" s="665" t="s">
        <v>415</v>
      </c>
      <c r="C4" s="666"/>
      <c r="D4" s="179"/>
      <c r="E4" s="178"/>
      <c r="F4" s="60"/>
      <c r="G4" s="60"/>
    </row>
    <row r="5" spans="1:10" ht="21.2" customHeight="1">
      <c r="A5" s="157" t="s">
        <v>3</v>
      </c>
      <c r="B5" s="667">
        <v>66</v>
      </c>
      <c r="C5" s="668"/>
      <c r="D5" s="158"/>
      <c r="E5" s="158"/>
      <c r="F5" s="158"/>
      <c r="G5" s="158"/>
      <c r="H5" s="158"/>
      <c r="I5" s="158"/>
      <c r="J5" s="158"/>
    </row>
    <row r="6" spans="1:10" ht="21.2" customHeight="1">
      <c r="A6" s="159" t="s">
        <v>4</v>
      </c>
      <c r="B6" s="655">
        <v>9.1</v>
      </c>
      <c r="C6" s="656"/>
      <c r="D6" s="158"/>
      <c r="E6" s="158"/>
      <c r="F6" s="158"/>
      <c r="G6" s="158"/>
      <c r="H6" s="158"/>
      <c r="I6" s="158"/>
      <c r="J6" s="158"/>
    </row>
    <row r="7" spans="1:10" ht="21.2" customHeight="1">
      <c r="A7" s="160" t="s">
        <v>85</v>
      </c>
      <c r="B7" s="659">
        <v>8</v>
      </c>
      <c r="C7" s="660"/>
      <c r="D7" s="158"/>
      <c r="E7" s="158"/>
      <c r="F7" s="158"/>
      <c r="G7" s="158"/>
      <c r="H7" s="158"/>
      <c r="I7" s="158"/>
      <c r="J7" s="158"/>
    </row>
    <row r="8" spans="1:10" ht="21.2" customHeight="1">
      <c r="A8" s="159" t="s">
        <v>86</v>
      </c>
      <c r="B8" s="655">
        <v>9.6</v>
      </c>
      <c r="C8" s="656"/>
      <c r="D8" s="158"/>
      <c r="E8" s="158"/>
      <c r="F8" s="158"/>
      <c r="G8" s="158"/>
      <c r="H8" s="158"/>
      <c r="I8" s="158"/>
      <c r="J8" s="158"/>
    </row>
    <row r="9" spans="1:10" ht="21.2" customHeight="1">
      <c r="A9" s="160" t="s">
        <v>87</v>
      </c>
      <c r="B9" s="659">
        <v>8.6</v>
      </c>
      <c r="C9" s="660"/>
      <c r="D9" s="158"/>
      <c r="E9" s="158"/>
      <c r="F9" s="158"/>
      <c r="G9" s="158"/>
      <c r="H9" s="158"/>
      <c r="I9" s="158"/>
      <c r="J9" s="158"/>
    </row>
    <row r="10" spans="1:10" ht="21.2" customHeight="1">
      <c r="A10" s="159" t="s">
        <v>88</v>
      </c>
      <c r="B10" s="655">
        <v>8</v>
      </c>
      <c r="C10" s="656"/>
      <c r="D10" s="158"/>
      <c r="E10" s="158"/>
      <c r="F10" s="158"/>
      <c r="G10" s="158"/>
      <c r="H10" s="158"/>
      <c r="I10" s="158"/>
      <c r="J10" s="158"/>
    </row>
    <row r="11" spans="1:10" ht="21.2" customHeight="1">
      <c r="A11" s="160" t="s">
        <v>89</v>
      </c>
      <c r="B11" s="659">
        <v>8.6999999999999993</v>
      </c>
      <c r="C11" s="660"/>
      <c r="D11" s="158"/>
      <c r="E11" s="158"/>
      <c r="F11" s="158"/>
      <c r="G11" s="158"/>
      <c r="H11" s="158"/>
      <c r="I11" s="158"/>
      <c r="J11" s="158"/>
    </row>
    <row r="12" spans="1:10" ht="21.2" customHeight="1">
      <c r="A12" s="159" t="s">
        <v>90</v>
      </c>
      <c r="B12" s="655">
        <v>10</v>
      </c>
      <c r="C12" s="656"/>
      <c r="D12" s="158"/>
      <c r="E12" s="158"/>
      <c r="F12" s="158"/>
      <c r="G12" s="158"/>
      <c r="H12" s="158"/>
      <c r="I12" s="158"/>
      <c r="J12" s="158"/>
    </row>
    <row r="13" spans="1:10" ht="21.2" customHeight="1">
      <c r="A13" s="160" t="s">
        <v>91</v>
      </c>
      <c r="B13" s="659">
        <v>9.8000000000000007</v>
      </c>
      <c r="C13" s="660"/>
      <c r="D13" s="158"/>
      <c r="E13" s="158"/>
      <c r="F13" s="158"/>
      <c r="G13" s="158"/>
      <c r="H13" s="158"/>
      <c r="I13" s="158"/>
      <c r="J13" s="158"/>
    </row>
    <row r="14" spans="1:10" ht="21.2" customHeight="1">
      <c r="A14" s="159" t="s">
        <v>92</v>
      </c>
      <c r="B14" s="655">
        <v>9.1</v>
      </c>
      <c r="C14" s="656"/>
      <c r="D14" s="158"/>
      <c r="E14" s="158"/>
      <c r="F14" s="158"/>
      <c r="G14" s="158"/>
      <c r="H14" s="158"/>
      <c r="I14" s="158"/>
      <c r="J14" s="158"/>
    </row>
    <row r="15" spans="1:10" ht="21.2" customHeight="1">
      <c r="A15" s="160" t="s">
        <v>93</v>
      </c>
      <c r="B15" s="659">
        <v>9.1999999999999993</v>
      </c>
      <c r="C15" s="660"/>
      <c r="D15" s="158"/>
      <c r="E15" s="158"/>
      <c r="F15" s="158"/>
      <c r="G15" s="158"/>
      <c r="H15" s="158"/>
      <c r="I15" s="158"/>
      <c r="J15" s="158"/>
    </row>
    <row r="16" spans="1:10" ht="21.2" customHeight="1">
      <c r="A16" s="159" t="s">
        <v>94</v>
      </c>
      <c r="B16" s="655">
        <v>15.6</v>
      </c>
      <c r="C16" s="656"/>
      <c r="D16" s="158"/>
      <c r="E16" s="158"/>
      <c r="F16" s="158"/>
      <c r="G16" s="158"/>
      <c r="H16" s="158"/>
      <c r="I16" s="158"/>
      <c r="J16" s="158"/>
    </row>
    <row r="17" spans="1:10" ht="21.2" customHeight="1">
      <c r="A17" s="160" t="s">
        <v>95</v>
      </c>
      <c r="B17" s="659">
        <v>8.3000000000000007</v>
      </c>
      <c r="C17" s="660"/>
      <c r="D17" s="158"/>
      <c r="E17" s="158"/>
      <c r="F17" s="158"/>
      <c r="G17" s="158"/>
      <c r="H17" s="158"/>
      <c r="I17" s="158"/>
      <c r="J17" s="158"/>
    </row>
    <row r="18" spans="1:10" ht="21.2" customHeight="1">
      <c r="A18" s="159" t="s">
        <v>96</v>
      </c>
      <c r="B18" s="655">
        <v>8.6</v>
      </c>
      <c r="C18" s="656"/>
      <c r="D18" s="158"/>
      <c r="E18" s="158"/>
      <c r="F18" s="158"/>
      <c r="G18" s="158"/>
      <c r="H18" s="158"/>
      <c r="I18" s="158"/>
      <c r="J18" s="158"/>
    </row>
    <row r="19" spans="1:10" ht="21.2" customHeight="1">
      <c r="A19" s="160" t="s">
        <v>97</v>
      </c>
      <c r="B19" s="659">
        <v>9.5</v>
      </c>
      <c r="C19" s="660"/>
      <c r="D19" s="158"/>
      <c r="E19" s="158"/>
      <c r="F19" s="158"/>
      <c r="G19" s="158"/>
      <c r="H19" s="158"/>
      <c r="I19" s="158"/>
      <c r="J19" s="158"/>
    </row>
    <row r="20" spans="1:10" ht="21.2" customHeight="1">
      <c r="A20" s="159" t="s">
        <v>98</v>
      </c>
      <c r="B20" s="655">
        <v>8.8000000000000007</v>
      </c>
      <c r="C20" s="656"/>
      <c r="D20" s="158"/>
      <c r="E20" s="158"/>
      <c r="F20" s="158"/>
      <c r="G20" s="158"/>
      <c r="H20" s="158"/>
      <c r="I20" s="158"/>
      <c r="J20" s="158"/>
    </row>
    <row r="21" spans="1:10" ht="21.2" customHeight="1">
      <c r="A21" s="160" t="s">
        <v>99</v>
      </c>
      <c r="B21" s="659">
        <v>9.8000000000000007</v>
      </c>
      <c r="C21" s="660"/>
      <c r="D21" s="158"/>
      <c r="E21" s="158"/>
      <c r="F21" s="158"/>
      <c r="G21" s="158"/>
      <c r="H21" s="158"/>
      <c r="I21" s="158"/>
      <c r="J21" s="158"/>
    </row>
    <row r="22" spans="1:10" ht="21.2" customHeight="1">
      <c r="A22" s="159" t="s">
        <v>100</v>
      </c>
      <c r="B22" s="655">
        <v>8</v>
      </c>
      <c r="C22" s="656"/>
      <c r="D22" s="158"/>
      <c r="E22" s="158"/>
      <c r="F22" s="158"/>
      <c r="G22" s="158"/>
      <c r="H22" s="158"/>
      <c r="I22" s="158"/>
      <c r="J22" s="158"/>
    </row>
    <row r="23" spans="1:10" ht="21.2" customHeight="1">
      <c r="A23" s="160" t="s">
        <v>101</v>
      </c>
      <c r="B23" s="659">
        <v>8.8000000000000007</v>
      </c>
      <c r="C23" s="660"/>
      <c r="D23" s="158"/>
      <c r="E23" s="158"/>
      <c r="F23" s="158"/>
      <c r="G23" s="158"/>
      <c r="H23" s="158"/>
      <c r="I23" s="158"/>
      <c r="J23" s="158"/>
    </row>
    <row r="24" spans="1:10" ht="21.2" customHeight="1">
      <c r="A24" s="159" t="s">
        <v>102</v>
      </c>
      <c r="B24" s="655">
        <v>10.3</v>
      </c>
      <c r="C24" s="656"/>
      <c r="D24" s="158"/>
      <c r="E24" s="158"/>
      <c r="F24" s="158"/>
      <c r="G24" s="158"/>
      <c r="H24" s="158"/>
      <c r="I24" s="158"/>
      <c r="J24" s="158"/>
    </row>
    <row r="25" spans="1:10" ht="21.2" customHeight="1">
      <c r="A25" s="160" t="s">
        <v>15</v>
      </c>
      <c r="B25" s="659">
        <v>9.9</v>
      </c>
      <c r="C25" s="660"/>
      <c r="D25" s="158"/>
      <c r="E25" s="158"/>
      <c r="F25" s="158"/>
      <c r="G25" s="158"/>
      <c r="H25" s="158"/>
      <c r="I25" s="158"/>
      <c r="J25" s="158"/>
    </row>
    <row r="26" spans="1:10" ht="21.2" customHeight="1">
      <c r="A26" s="159" t="s">
        <v>5</v>
      </c>
      <c r="B26" s="655">
        <v>8.8000000000000007</v>
      </c>
      <c r="C26" s="656"/>
      <c r="D26" s="158"/>
      <c r="E26" s="158"/>
      <c r="F26" s="158"/>
      <c r="G26" s="158"/>
      <c r="H26" s="158"/>
      <c r="I26" s="158"/>
      <c r="J26" s="158"/>
    </row>
    <row r="27" spans="1:10" ht="21.2" customHeight="1">
      <c r="A27" s="160" t="s">
        <v>103</v>
      </c>
      <c r="B27" s="659">
        <v>11</v>
      </c>
      <c r="C27" s="660"/>
      <c r="D27" s="158"/>
      <c r="E27" s="158"/>
      <c r="F27" s="158"/>
      <c r="G27" s="158"/>
      <c r="H27" s="158"/>
      <c r="I27" s="158"/>
      <c r="J27" s="158"/>
    </row>
    <row r="28" spans="1:10" ht="21.2" customHeight="1">
      <c r="A28" s="159" t="s">
        <v>104</v>
      </c>
      <c r="B28" s="655">
        <v>9</v>
      </c>
      <c r="C28" s="656"/>
      <c r="D28" s="158"/>
      <c r="E28" s="158"/>
      <c r="F28" s="158"/>
      <c r="G28" s="158"/>
      <c r="H28" s="158"/>
      <c r="I28" s="158"/>
      <c r="J28" s="158"/>
    </row>
    <row r="29" spans="1:10" ht="21.2" customHeight="1">
      <c r="A29" s="160" t="s">
        <v>105</v>
      </c>
      <c r="B29" s="659">
        <v>8.3000000000000007</v>
      </c>
      <c r="C29" s="660"/>
      <c r="D29" s="158"/>
      <c r="E29" s="158"/>
      <c r="F29" s="158"/>
      <c r="G29" s="158"/>
      <c r="H29" s="158"/>
      <c r="I29" s="158"/>
      <c r="J29" s="158"/>
    </row>
    <row r="30" spans="1:10" ht="21.2" customHeight="1">
      <c r="A30" s="159" t="s">
        <v>6</v>
      </c>
      <c r="B30" s="655">
        <v>11.1</v>
      </c>
      <c r="C30" s="656"/>
      <c r="D30" s="158"/>
      <c r="E30" s="158"/>
      <c r="F30" s="158"/>
      <c r="G30" s="158"/>
      <c r="H30" s="158"/>
      <c r="I30" s="158"/>
      <c r="J30" s="158"/>
    </row>
    <row r="31" spans="1:10" ht="21.2" customHeight="1">
      <c r="A31" s="160" t="s">
        <v>106</v>
      </c>
      <c r="B31" s="659">
        <v>10</v>
      </c>
      <c r="C31" s="660"/>
      <c r="D31" s="158"/>
      <c r="E31" s="158"/>
      <c r="F31" s="158"/>
      <c r="G31" s="158"/>
      <c r="H31" s="158"/>
      <c r="I31" s="158"/>
      <c r="J31" s="158"/>
    </row>
    <row r="32" spans="1:10" ht="21.2" customHeight="1">
      <c r="A32" s="159" t="s">
        <v>16</v>
      </c>
      <c r="B32" s="655">
        <v>9.1</v>
      </c>
      <c r="C32" s="656"/>
      <c r="D32" s="158"/>
      <c r="E32" s="158"/>
      <c r="F32" s="158"/>
      <c r="G32" s="158"/>
      <c r="H32" s="158"/>
      <c r="I32" s="158"/>
      <c r="J32" s="158"/>
    </row>
    <row r="33" spans="1:10" ht="21.2" customHeight="1">
      <c r="A33" s="160" t="s">
        <v>132</v>
      </c>
      <c r="B33" s="659">
        <v>8</v>
      </c>
      <c r="C33" s="660"/>
      <c r="D33" s="158"/>
      <c r="E33" s="158"/>
      <c r="F33" s="158"/>
      <c r="G33" s="158"/>
      <c r="H33" s="158"/>
      <c r="I33" s="158"/>
      <c r="J33" s="158"/>
    </row>
    <row r="34" spans="1:10" ht="21.2" customHeight="1">
      <c r="A34" s="159" t="s">
        <v>108</v>
      </c>
      <c r="B34" s="655">
        <v>9.1</v>
      </c>
      <c r="C34" s="656"/>
      <c r="D34" s="158"/>
      <c r="E34" s="158"/>
      <c r="F34" s="158"/>
      <c r="G34" s="158"/>
      <c r="H34" s="158"/>
      <c r="I34" s="158"/>
      <c r="J34" s="158"/>
    </row>
    <row r="35" spans="1:10" ht="21.2" customHeight="1">
      <c r="A35" s="160" t="s">
        <v>109</v>
      </c>
      <c r="B35" s="659">
        <v>8</v>
      </c>
      <c r="C35" s="660"/>
      <c r="D35" s="158"/>
      <c r="E35" s="158"/>
      <c r="F35" s="158"/>
      <c r="G35" s="158"/>
      <c r="H35" s="158"/>
      <c r="I35" s="158"/>
      <c r="J35" s="158"/>
    </row>
    <row r="36" spans="1:10" ht="21.2" customHeight="1">
      <c r="A36" s="159" t="s">
        <v>110</v>
      </c>
      <c r="B36" s="655">
        <v>8.6</v>
      </c>
      <c r="C36" s="656"/>
      <c r="D36" s="158"/>
      <c r="E36" s="158"/>
      <c r="F36" s="158"/>
      <c r="G36" s="158"/>
      <c r="H36" s="158"/>
      <c r="I36" s="158"/>
      <c r="J36" s="158"/>
    </row>
    <row r="37" spans="1:10" ht="21.2" customHeight="1">
      <c r="A37" s="160" t="s">
        <v>111</v>
      </c>
      <c r="B37" s="659">
        <v>8</v>
      </c>
      <c r="C37" s="660"/>
      <c r="D37" s="158"/>
      <c r="E37" s="158"/>
      <c r="F37" s="158"/>
      <c r="G37" s="158"/>
      <c r="H37" s="158"/>
      <c r="I37" s="158"/>
      <c r="J37" s="158"/>
    </row>
    <row r="38" spans="1:10" ht="21.2" customHeight="1">
      <c r="A38" s="159" t="s">
        <v>7</v>
      </c>
      <c r="B38" s="655">
        <v>17.399999999999999</v>
      </c>
      <c r="C38" s="656"/>
      <c r="D38" s="158"/>
      <c r="E38" s="158"/>
      <c r="F38" s="158"/>
      <c r="G38" s="158"/>
      <c r="H38" s="158"/>
      <c r="I38" s="158"/>
      <c r="J38" s="158"/>
    </row>
    <row r="39" spans="1:10" ht="21.2" customHeight="1">
      <c r="A39" s="160" t="s">
        <v>112</v>
      </c>
      <c r="B39" s="659">
        <v>10</v>
      </c>
      <c r="C39" s="660"/>
      <c r="D39" s="158"/>
      <c r="E39" s="158"/>
      <c r="F39" s="158"/>
      <c r="G39" s="158"/>
      <c r="H39" s="158"/>
      <c r="I39" s="158"/>
      <c r="J39" s="158"/>
    </row>
    <row r="40" spans="1:10" ht="21.2" customHeight="1">
      <c r="A40" s="159" t="s">
        <v>113</v>
      </c>
      <c r="B40" s="655">
        <v>9.9</v>
      </c>
      <c r="C40" s="656"/>
      <c r="D40" s="158"/>
      <c r="E40" s="158"/>
      <c r="F40" s="158"/>
      <c r="G40" s="158"/>
      <c r="H40" s="158"/>
      <c r="I40" s="158"/>
      <c r="J40" s="158"/>
    </row>
    <row r="41" spans="1:10" ht="21.2" customHeight="1">
      <c r="A41" s="160" t="s">
        <v>114</v>
      </c>
      <c r="B41" s="659">
        <v>9.1</v>
      </c>
      <c r="C41" s="660"/>
      <c r="D41" s="158"/>
      <c r="E41" s="158"/>
      <c r="F41" s="158"/>
      <c r="G41" s="158"/>
      <c r="H41" s="158"/>
      <c r="I41" s="158"/>
      <c r="J41" s="158"/>
    </row>
    <row r="42" spans="1:10" ht="21.2" customHeight="1">
      <c r="A42" s="159" t="s">
        <v>115</v>
      </c>
      <c r="B42" s="655">
        <v>9.1</v>
      </c>
      <c r="C42" s="656"/>
      <c r="D42" s="158"/>
      <c r="E42" s="158"/>
      <c r="F42" s="158"/>
      <c r="G42" s="158"/>
      <c r="H42" s="158"/>
      <c r="I42" s="158"/>
      <c r="J42" s="158"/>
    </row>
    <row r="43" spans="1:10" ht="21.2" customHeight="1">
      <c r="A43" s="160" t="s">
        <v>8</v>
      </c>
      <c r="B43" s="659">
        <v>9.8000000000000007</v>
      </c>
      <c r="C43" s="660"/>
      <c r="D43" s="158"/>
      <c r="E43" s="158"/>
      <c r="F43" s="158"/>
      <c r="G43" s="158"/>
      <c r="H43" s="158"/>
      <c r="I43" s="158"/>
      <c r="J43" s="158"/>
    </row>
    <row r="44" spans="1:10" ht="21.2" customHeight="1">
      <c r="A44" s="159" t="s">
        <v>9</v>
      </c>
      <c r="B44" s="655">
        <v>8</v>
      </c>
      <c r="C44" s="656"/>
      <c r="D44" s="158"/>
      <c r="E44" s="158"/>
      <c r="F44" s="158"/>
      <c r="G44" s="158"/>
      <c r="H44" s="158"/>
      <c r="I44" s="158"/>
      <c r="J44" s="158"/>
    </row>
    <row r="45" spans="1:10" ht="21.2" customHeight="1">
      <c r="A45" s="160" t="s">
        <v>116</v>
      </c>
      <c r="B45" s="659">
        <v>13.7</v>
      </c>
      <c r="C45" s="660"/>
      <c r="D45" s="158"/>
      <c r="E45" s="158"/>
      <c r="F45" s="158"/>
      <c r="G45" s="158"/>
      <c r="H45" s="158"/>
      <c r="I45" s="158"/>
      <c r="J45" s="158"/>
    </row>
    <row r="46" spans="1:10" ht="21.2" customHeight="1">
      <c r="A46" s="159" t="s">
        <v>117</v>
      </c>
      <c r="B46" s="655">
        <v>12.4</v>
      </c>
      <c r="C46" s="656"/>
      <c r="D46" s="158"/>
      <c r="E46" s="158"/>
      <c r="F46" s="158"/>
      <c r="G46" s="158"/>
      <c r="H46" s="158"/>
      <c r="I46" s="158"/>
      <c r="J46" s="158"/>
    </row>
    <row r="47" spans="1:10" ht="21.2" customHeight="1">
      <c r="A47" s="160" t="s">
        <v>17</v>
      </c>
      <c r="B47" s="659">
        <v>9.8000000000000007</v>
      </c>
      <c r="C47" s="660"/>
      <c r="D47" s="158"/>
      <c r="E47" s="158"/>
      <c r="F47" s="158"/>
      <c r="G47" s="158"/>
      <c r="H47" s="158"/>
      <c r="I47" s="158"/>
      <c r="J47" s="158"/>
    </row>
    <row r="48" spans="1:10" ht="21.2" customHeight="1">
      <c r="A48" s="159" t="s">
        <v>118</v>
      </c>
      <c r="B48" s="655">
        <v>9.1999999999999993</v>
      </c>
      <c r="C48" s="656"/>
      <c r="D48" s="158"/>
      <c r="E48" s="158"/>
      <c r="F48" s="158"/>
      <c r="G48" s="158"/>
      <c r="H48" s="158"/>
      <c r="I48" s="158"/>
      <c r="J48" s="158"/>
    </row>
    <row r="49" spans="1:10" ht="21.2" customHeight="1">
      <c r="A49" s="160" t="s">
        <v>119</v>
      </c>
      <c r="B49" s="659">
        <v>8.6999999999999993</v>
      </c>
      <c r="C49" s="660"/>
      <c r="D49" s="158"/>
      <c r="E49" s="158"/>
      <c r="F49" s="158"/>
      <c r="G49" s="158"/>
      <c r="H49" s="158"/>
      <c r="I49" s="158"/>
      <c r="J49" s="158"/>
    </row>
    <row r="50" spans="1:10" ht="21.2" customHeight="1">
      <c r="A50" s="159" t="s">
        <v>120</v>
      </c>
      <c r="B50" s="655">
        <v>10.4</v>
      </c>
      <c r="C50" s="656"/>
      <c r="D50" s="158"/>
      <c r="E50" s="158"/>
      <c r="F50" s="158"/>
      <c r="G50" s="158"/>
      <c r="H50" s="158"/>
      <c r="I50" s="158"/>
      <c r="J50" s="158"/>
    </row>
    <row r="51" spans="1:10" ht="21.2" customHeight="1">
      <c r="A51" s="160" t="s">
        <v>121</v>
      </c>
      <c r="B51" s="659">
        <v>13.1</v>
      </c>
      <c r="C51" s="660"/>
      <c r="D51" s="158"/>
      <c r="E51" s="158"/>
      <c r="F51" s="158"/>
      <c r="G51" s="158"/>
      <c r="H51" s="158"/>
      <c r="I51" s="158"/>
      <c r="J51" s="158"/>
    </row>
    <row r="52" spans="1:10" ht="21.2" customHeight="1">
      <c r="A52" s="159" t="s">
        <v>122</v>
      </c>
      <c r="B52" s="655">
        <v>9</v>
      </c>
      <c r="C52" s="656"/>
      <c r="D52" s="158"/>
      <c r="E52" s="158"/>
      <c r="F52" s="158"/>
      <c r="G52" s="158"/>
      <c r="H52" s="158"/>
      <c r="I52" s="158"/>
      <c r="J52" s="158"/>
    </row>
    <row r="53" spans="1:10" ht="21.2" customHeight="1">
      <c r="A53" s="160" t="s">
        <v>10</v>
      </c>
      <c r="B53" s="659">
        <v>8.8000000000000007</v>
      </c>
      <c r="C53" s="660"/>
      <c r="D53" s="158"/>
      <c r="E53" s="158"/>
      <c r="F53" s="158"/>
      <c r="G53" s="158"/>
      <c r="H53" s="158"/>
      <c r="I53" s="158"/>
      <c r="J53" s="158"/>
    </row>
    <row r="54" spans="1:10" ht="21.2" customHeight="1">
      <c r="A54" s="159" t="s">
        <v>123</v>
      </c>
      <c r="B54" s="655">
        <v>10.199999999999999</v>
      </c>
      <c r="C54" s="656"/>
      <c r="D54" s="158"/>
      <c r="E54" s="158"/>
      <c r="F54" s="158"/>
      <c r="G54" s="158"/>
      <c r="H54" s="158"/>
      <c r="I54" s="158"/>
      <c r="J54" s="158"/>
    </row>
    <row r="55" spans="1:10" ht="21.2" customHeight="1">
      <c r="A55" s="160" t="s">
        <v>18</v>
      </c>
      <c r="B55" s="659">
        <v>8.1999999999999993</v>
      </c>
      <c r="C55" s="660"/>
      <c r="D55" s="158"/>
      <c r="E55" s="158"/>
      <c r="F55" s="158"/>
      <c r="G55" s="158"/>
      <c r="H55" s="158"/>
      <c r="I55" s="158"/>
      <c r="J55" s="158"/>
    </row>
    <row r="56" spans="1:10" ht="21.2" customHeight="1">
      <c r="A56" s="159" t="s">
        <v>124</v>
      </c>
      <c r="B56" s="655">
        <v>11.4</v>
      </c>
      <c r="C56" s="656"/>
      <c r="D56" s="158"/>
      <c r="E56" s="158"/>
      <c r="F56" s="158"/>
      <c r="G56" s="158"/>
      <c r="H56" s="158"/>
      <c r="I56" s="158"/>
      <c r="J56" s="158"/>
    </row>
    <row r="57" spans="1:10" ht="21.2" customHeight="1">
      <c r="A57" s="160" t="s">
        <v>133</v>
      </c>
      <c r="B57" s="659">
        <v>9.6</v>
      </c>
      <c r="C57" s="660"/>
      <c r="D57" s="158"/>
      <c r="E57" s="158"/>
      <c r="F57" s="158"/>
      <c r="G57" s="158"/>
      <c r="H57" s="158"/>
      <c r="I57" s="158"/>
      <c r="J57" s="158"/>
    </row>
    <row r="58" spans="1:10" ht="21.2" customHeight="1">
      <c r="A58" s="159" t="s">
        <v>126</v>
      </c>
      <c r="B58" s="655">
        <v>9.8000000000000007</v>
      </c>
      <c r="C58" s="656"/>
      <c r="D58" s="158"/>
      <c r="E58" s="158"/>
      <c r="F58" s="158"/>
      <c r="G58" s="158"/>
      <c r="H58" s="158"/>
      <c r="I58" s="158"/>
      <c r="J58" s="158"/>
    </row>
    <row r="59" spans="1:10" ht="21.2" customHeight="1">
      <c r="A59" s="160" t="s">
        <v>127</v>
      </c>
      <c r="B59" s="659">
        <v>8.6999999999999993</v>
      </c>
      <c r="C59" s="660"/>
      <c r="D59" s="158"/>
      <c r="E59" s="158"/>
      <c r="F59" s="158"/>
      <c r="G59" s="158"/>
      <c r="H59" s="158"/>
      <c r="I59" s="158"/>
      <c r="J59" s="158"/>
    </row>
    <row r="60" spans="1:10" ht="21.2" customHeight="1">
      <c r="A60" s="159" t="s">
        <v>128</v>
      </c>
      <c r="B60" s="655">
        <v>8</v>
      </c>
      <c r="C60" s="656"/>
      <c r="D60" s="158"/>
      <c r="E60" s="158"/>
      <c r="F60" s="158"/>
      <c r="G60" s="158"/>
      <c r="H60" s="158"/>
      <c r="I60" s="158"/>
      <c r="J60" s="158"/>
    </row>
    <row r="61" spans="1:10" ht="21.2" customHeight="1">
      <c r="A61" s="160" t="s">
        <v>129</v>
      </c>
      <c r="B61" s="659">
        <v>8</v>
      </c>
      <c r="C61" s="660"/>
      <c r="D61" s="158"/>
      <c r="E61" s="158"/>
      <c r="F61" s="158"/>
      <c r="G61" s="158"/>
      <c r="H61" s="158"/>
      <c r="I61" s="158"/>
      <c r="J61" s="158"/>
    </row>
    <row r="62" spans="1:10" ht="21.2" customHeight="1">
      <c r="A62" s="159" t="s">
        <v>130</v>
      </c>
      <c r="B62" s="655">
        <v>9.6</v>
      </c>
      <c r="C62" s="656"/>
      <c r="D62" s="158"/>
      <c r="E62" s="158"/>
      <c r="F62" s="158"/>
      <c r="G62" s="158"/>
      <c r="H62" s="158"/>
      <c r="I62" s="158"/>
      <c r="J62" s="158"/>
    </row>
    <row r="63" spans="1:10" ht="21.2" customHeight="1" thickBot="1">
      <c r="A63" s="161" t="s">
        <v>131</v>
      </c>
      <c r="B63" s="657">
        <v>8</v>
      </c>
      <c r="C63" s="658"/>
      <c r="D63" s="158"/>
      <c r="E63" s="158"/>
      <c r="F63" s="158"/>
      <c r="G63" s="158"/>
      <c r="H63" s="158"/>
      <c r="I63" s="158"/>
      <c r="J63" s="158"/>
    </row>
    <row r="64" spans="1:10" ht="12.75" customHeight="1">
      <c r="D64" s="158"/>
      <c r="E64" s="158"/>
      <c r="F64" s="158"/>
      <c r="G64" s="158"/>
      <c r="H64" s="158"/>
      <c r="I64" s="158"/>
      <c r="J64" s="158"/>
    </row>
    <row r="65" spans="4:10" ht="12.75" customHeight="1">
      <c r="D65" s="158"/>
      <c r="E65" s="158"/>
      <c r="F65" s="158"/>
      <c r="G65" s="158"/>
      <c r="H65" s="158"/>
      <c r="I65" s="158"/>
      <c r="J65" s="158"/>
    </row>
    <row r="66" spans="4:10" ht="12.75" customHeight="1">
      <c r="D66" s="158"/>
      <c r="E66" s="158"/>
      <c r="F66" s="158"/>
      <c r="G66" s="158"/>
      <c r="H66" s="158"/>
      <c r="I66" s="158"/>
      <c r="J66" s="158"/>
    </row>
    <row r="67" spans="4:10" ht="12.75" customHeight="1">
      <c r="D67" s="158"/>
      <c r="E67" s="158"/>
      <c r="F67" s="158"/>
      <c r="G67" s="158"/>
      <c r="H67" s="158"/>
      <c r="I67" s="158"/>
      <c r="J67" s="158"/>
    </row>
    <row r="68" spans="4:10" ht="12.75" customHeight="1">
      <c r="D68" s="158"/>
      <c r="E68" s="158"/>
      <c r="F68" s="158"/>
      <c r="G68" s="158"/>
      <c r="H68" s="158"/>
      <c r="I68" s="158"/>
      <c r="J68" s="158"/>
    </row>
    <row r="69" spans="4:10" ht="12.75" customHeight="1">
      <c r="D69" s="158"/>
      <c r="E69" s="158"/>
      <c r="F69" s="158"/>
      <c r="G69" s="158"/>
      <c r="H69" s="158"/>
      <c r="I69" s="158"/>
      <c r="J69" s="158"/>
    </row>
    <row r="70" spans="4:10" ht="12.75" customHeight="1">
      <c r="D70" s="158"/>
      <c r="E70" s="158"/>
      <c r="F70" s="158"/>
      <c r="G70" s="158"/>
      <c r="H70" s="158"/>
      <c r="I70" s="158"/>
      <c r="J70" s="158"/>
    </row>
    <row r="71" spans="4:10" ht="12.75" customHeight="1">
      <c r="D71" s="158"/>
      <c r="E71" s="158"/>
      <c r="F71" s="158"/>
      <c r="G71" s="158"/>
      <c r="H71" s="158"/>
      <c r="I71" s="158"/>
      <c r="J71" s="158"/>
    </row>
    <row r="72" spans="4:10" ht="12.75" customHeight="1">
      <c r="D72" s="158"/>
      <c r="E72" s="158"/>
      <c r="F72" s="158"/>
      <c r="G72" s="158"/>
      <c r="H72" s="158"/>
      <c r="I72" s="158"/>
      <c r="J72" s="158"/>
    </row>
    <row r="73" spans="4:10" ht="12.75" customHeight="1">
      <c r="D73" s="158"/>
      <c r="E73" s="158"/>
      <c r="F73" s="158"/>
      <c r="G73" s="158"/>
      <c r="H73" s="158"/>
      <c r="I73" s="158"/>
      <c r="J73" s="158"/>
    </row>
  </sheetData>
  <sheetProtection password="8BE7" sheet="1" objects="1" scenarios="1"/>
  <mergeCells count="63">
    <mergeCell ref="D3:G3"/>
    <mergeCell ref="B13:C13"/>
    <mergeCell ref="B14:C14"/>
    <mergeCell ref="B11:C11"/>
    <mergeCell ref="A1:C1"/>
    <mergeCell ref="A3:C3"/>
    <mergeCell ref="B7:C7"/>
    <mergeCell ref="B8:C8"/>
    <mergeCell ref="B9:C9"/>
    <mergeCell ref="B4:C4"/>
    <mergeCell ref="B5:C5"/>
    <mergeCell ref="B6:C6"/>
    <mergeCell ref="B12:C12"/>
    <mergeCell ref="B10:C10"/>
    <mergeCell ref="B26:C26"/>
    <mergeCell ref="B15:C15"/>
    <mergeCell ref="B16:C16"/>
    <mergeCell ref="B17:C17"/>
    <mergeCell ref="B18:C18"/>
    <mergeCell ref="B19:C19"/>
    <mergeCell ref="B20:C20"/>
    <mergeCell ref="B21:C21"/>
    <mergeCell ref="B22:C22"/>
    <mergeCell ref="B23:C23"/>
    <mergeCell ref="B24:C24"/>
    <mergeCell ref="B25:C25"/>
    <mergeCell ref="B38:C38"/>
    <mergeCell ref="B27:C27"/>
    <mergeCell ref="B28:C28"/>
    <mergeCell ref="B29:C29"/>
    <mergeCell ref="B30:C30"/>
    <mergeCell ref="B31:C31"/>
    <mergeCell ref="B32:C32"/>
    <mergeCell ref="B33:C33"/>
    <mergeCell ref="B34:C34"/>
    <mergeCell ref="B35:C35"/>
    <mergeCell ref="B36:C36"/>
    <mergeCell ref="B37:C37"/>
    <mergeCell ref="B51:C51"/>
    <mergeCell ref="B48:C48"/>
    <mergeCell ref="B39:C39"/>
    <mergeCell ref="B40:C40"/>
    <mergeCell ref="B41:C41"/>
    <mergeCell ref="B42:C42"/>
    <mergeCell ref="B43:C43"/>
    <mergeCell ref="B44:C44"/>
    <mergeCell ref="B45:C45"/>
    <mergeCell ref="B46:C46"/>
    <mergeCell ref="B47:C47"/>
    <mergeCell ref="B49:C49"/>
    <mergeCell ref="B50:C50"/>
    <mergeCell ref="B52:C52"/>
    <mergeCell ref="B53:C53"/>
    <mergeCell ref="B54:C54"/>
    <mergeCell ref="B55:C55"/>
    <mergeCell ref="B56:C56"/>
    <mergeCell ref="B62:C62"/>
    <mergeCell ref="B63:C63"/>
    <mergeCell ref="B57:C57"/>
    <mergeCell ref="B58:C58"/>
    <mergeCell ref="B59:C59"/>
    <mergeCell ref="B60:C60"/>
    <mergeCell ref="B61:C61"/>
  </mergeCells>
  <phoneticPr fontId="2" type="noConversion"/>
  <hyperlinks>
    <hyperlink ref="E3:G3" location="'FM-200 Calculation'!A1" display="go to CALCULATION sheet" xr:uid="{00000000-0004-0000-0A00-000000000000}"/>
    <hyperlink ref="D3:G3" location="'Protected Areas'!A1" display="back to Protected Area sheet" xr:uid="{00000000-0004-0000-0A00-000001000000}"/>
  </hyperlinks>
  <printOptions horizontalCentered="1"/>
  <pageMargins left="0.39370078740157499" right="0.39370078740157499" top="0.39370078740157499" bottom="1.1811023622047201" header="0.511811023622047" footer="0.511811023622047"/>
  <pageSetup paperSize="9" orientation="portrait" horizontalDpi="300" verticalDpi="300" r:id="rId1"/>
  <headerFooter alignWithMargins="0">
    <oddFooter xml:space="preserve">&amp;L&amp;"Cambria,Regular"&amp;7Tel  : +98 ( 21 ) 4420 1601
          +98 ( 21 ) 4420 1768
Fax: +98 ( 21 ) 4420 1934&amp;C&amp;"camberia,Regular"&amp;7-  5  -&amp;R&amp;"camberia,Regular"&amp;7Design by  A.Cheraghi
                 ( BSEE )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51"/>
  </sheetPr>
  <dimension ref="C1:N62"/>
  <sheetViews>
    <sheetView showGridLines="0" workbookViewId="0">
      <pane ySplit="3" topLeftCell="A4" activePane="bottomLeft" state="frozen"/>
      <selection pane="bottomLeft" activeCell="C1" sqref="C1:G1"/>
    </sheetView>
  </sheetViews>
  <sheetFormatPr defaultRowHeight="12.75"/>
  <cols>
    <col min="3" max="7" width="10.5703125" customWidth="1"/>
  </cols>
  <sheetData>
    <row r="1" spans="3:14" ht="50.1" customHeight="1" thickBot="1">
      <c r="C1" s="699" t="s">
        <v>162</v>
      </c>
      <c r="D1" s="699"/>
      <c r="E1" s="699"/>
      <c r="F1" s="699"/>
      <c r="G1" s="699"/>
    </row>
    <row r="2" spans="3:14" ht="21.2" customHeight="1" thickBot="1">
      <c r="C2" s="678" t="s">
        <v>82</v>
      </c>
      <c r="D2" s="679"/>
      <c r="E2" s="679"/>
      <c r="F2" s="679"/>
      <c r="G2" s="679"/>
      <c r="H2" s="680" t="s">
        <v>12</v>
      </c>
      <c r="I2" s="681"/>
    </row>
    <row r="3" spans="3:14" ht="30.2" customHeight="1" thickBot="1">
      <c r="C3" s="687" t="s">
        <v>83</v>
      </c>
      <c r="D3" s="688"/>
      <c r="E3" s="689"/>
      <c r="F3" s="700" t="s">
        <v>84</v>
      </c>
      <c r="G3" s="701"/>
      <c r="H3" s="680"/>
      <c r="I3" s="681"/>
      <c r="J3" s="682"/>
      <c r="K3" s="682"/>
    </row>
    <row r="4" spans="3:14" ht="21.2" customHeight="1">
      <c r="C4" s="684" t="s">
        <v>3</v>
      </c>
      <c r="D4" s="685"/>
      <c r="E4" s="686"/>
      <c r="F4" s="702">
        <v>66</v>
      </c>
      <c r="G4" s="703"/>
      <c r="H4" s="1"/>
      <c r="I4" s="2"/>
    </row>
    <row r="5" spans="3:14" ht="21.2" customHeight="1">
      <c r="C5" s="675" t="s">
        <v>4</v>
      </c>
      <c r="D5" s="676"/>
      <c r="E5" s="677"/>
      <c r="F5" s="695">
        <v>9</v>
      </c>
      <c r="G5" s="696"/>
      <c r="H5" s="1"/>
      <c r="I5" s="683"/>
      <c r="J5" s="683"/>
      <c r="K5" s="683"/>
      <c r="L5" s="683"/>
      <c r="M5" s="683"/>
      <c r="N5" s="683"/>
    </row>
    <row r="6" spans="3:14" ht="21.2" customHeight="1">
      <c r="C6" s="672" t="s">
        <v>85</v>
      </c>
      <c r="D6" s="673"/>
      <c r="E6" s="674"/>
      <c r="F6" s="693">
        <v>8.6999999999999993</v>
      </c>
      <c r="G6" s="694"/>
      <c r="H6" s="1"/>
      <c r="I6" s="692"/>
      <c r="J6" s="692"/>
      <c r="K6" s="691"/>
      <c r="L6" s="691"/>
      <c r="M6" s="690"/>
      <c r="N6" s="690"/>
    </row>
    <row r="7" spans="3:14" ht="21.2" customHeight="1">
      <c r="C7" s="675" t="s">
        <v>86</v>
      </c>
      <c r="D7" s="676"/>
      <c r="E7" s="677"/>
      <c r="F7" s="695">
        <v>9.5</v>
      </c>
      <c r="G7" s="696"/>
      <c r="H7" s="1"/>
      <c r="I7" s="20"/>
      <c r="J7" s="20"/>
      <c r="K7" s="19"/>
      <c r="L7" s="19"/>
      <c r="M7" s="18"/>
      <c r="N7" s="18"/>
    </row>
    <row r="8" spans="3:14" ht="21.2" customHeight="1">
      <c r="C8" s="672" t="s">
        <v>87</v>
      </c>
      <c r="D8" s="673"/>
      <c r="E8" s="674"/>
      <c r="F8" s="693">
        <v>8.6999999999999993</v>
      </c>
      <c r="G8" s="694"/>
      <c r="H8" s="1"/>
      <c r="I8" s="20"/>
      <c r="J8" s="20"/>
      <c r="K8" s="19"/>
      <c r="L8" s="19"/>
      <c r="M8" s="18"/>
      <c r="N8" s="18"/>
    </row>
    <row r="9" spans="3:14" ht="21.2" customHeight="1">
      <c r="C9" s="675" t="s">
        <v>88</v>
      </c>
      <c r="D9" s="676"/>
      <c r="E9" s="677"/>
      <c r="F9" s="695">
        <v>8.6999999999999993</v>
      </c>
      <c r="G9" s="696"/>
      <c r="H9" s="1"/>
      <c r="I9" s="20"/>
      <c r="J9" s="20"/>
      <c r="K9" s="19"/>
      <c r="L9" s="19"/>
      <c r="M9" s="18"/>
      <c r="N9" s="18"/>
    </row>
    <row r="10" spans="3:14" ht="21.2" customHeight="1">
      <c r="C10" s="672" t="s">
        <v>89</v>
      </c>
      <c r="D10" s="673"/>
      <c r="E10" s="674"/>
      <c r="F10" s="693">
        <v>8.6999999999999993</v>
      </c>
      <c r="G10" s="694"/>
      <c r="H10" s="1"/>
      <c r="I10" s="20"/>
      <c r="J10" s="20"/>
      <c r="K10" s="19"/>
      <c r="L10" s="19"/>
      <c r="M10" s="18"/>
      <c r="N10" s="18"/>
    </row>
    <row r="11" spans="3:14" ht="21.2" customHeight="1">
      <c r="C11" s="675" t="s">
        <v>90</v>
      </c>
      <c r="D11" s="676"/>
      <c r="E11" s="677"/>
      <c r="F11" s="695">
        <v>9.9</v>
      </c>
      <c r="G11" s="696"/>
      <c r="H11" s="1"/>
      <c r="I11" s="20"/>
      <c r="J11" s="20"/>
      <c r="K11" s="19"/>
      <c r="L11" s="19"/>
      <c r="M11" s="18"/>
      <c r="N11" s="18"/>
    </row>
    <row r="12" spans="3:14" ht="21.2" customHeight="1">
      <c r="C12" s="672" t="s">
        <v>91</v>
      </c>
      <c r="D12" s="673"/>
      <c r="E12" s="674"/>
      <c r="F12" s="693">
        <v>9.6</v>
      </c>
      <c r="G12" s="694"/>
      <c r="H12" s="1"/>
      <c r="I12" s="20"/>
      <c r="J12" s="20"/>
      <c r="K12" s="19"/>
      <c r="L12" s="19"/>
      <c r="M12" s="18"/>
      <c r="N12" s="18"/>
    </row>
    <row r="13" spans="3:14" ht="21.2" customHeight="1">
      <c r="C13" s="675" t="s">
        <v>92</v>
      </c>
      <c r="D13" s="676"/>
      <c r="E13" s="677"/>
      <c r="F13" s="695">
        <v>9</v>
      </c>
      <c r="G13" s="696"/>
      <c r="H13" s="1"/>
      <c r="I13" s="20"/>
      <c r="J13" s="20"/>
      <c r="K13" s="19"/>
      <c r="L13" s="19"/>
      <c r="M13" s="18"/>
      <c r="N13" s="18"/>
    </row>
    <row r="14" spans="3:14" ht="21.2" customHeight="1">
      <c r="C14" s="672" t="s">
        <v>93</v>
      </c>
      <c r="D14" s="673"/>
      <c r="E14" s="674"/>
      <c r="F14" s="693">
        <v>9.1</v>
      </c>
      <c r="G14" s="694"/>
      <c r="H14" s="1"/>
      <c r="I14" s="20"/>
      <c r="J14" s="20"/>
      <c r="K14" s="19"/>
      <c r="L14" s="19"/>
      <c r="M14" s="18"/>
      <c r="N14" s="18"/>
    </row>
    <row r="15" spans="3:14" ht="21.2" customHeight="1">
      <c r="C15" s="675" t="s">
        <v>94</v>
      </c>
      <c r="D15" s="676"/>
      <c r="E15" s="677"/>
      <c r="F15" s="695">
        <v>15.3</v>
      </c>
      <c r="G15" s="696"/>
      <c r="H15" s="1"/>
      <c r="I15" s="20"/>
      <c r="J15" s="20"/>
      <c r="K15" s="19"/>
      <c r="L15" s="19"/>
      <c r="M15" s="18"/>
      <c r="N15" s="18"/>
    </row>
    <row r="16" spans="3:14" ht="21.2" customHeight="1">
      <c r="C16" s="672" t="s">
        <v>95</v>
      </c>
      <c r="D16" s="673"/>
      <c r="E16" s="674"/>
      <c r="F16" s="693">
        <v>8.6999999999999993</v>
      </c>
      <c r="G16" s="694"/>
      <c r="H16" s="1"/>
      <c r="I16" s="20"/>
      <c r="J16" s="20"/>
      <c r="K16" s="19"/>
      <c r="L16" s="19"/>
      <c r="M16" s="18"/>
      <c r="N16" s="18"/>
    </row>
    <row r="17" spans="3:14" ht="21.2" customHeight="1">
      <c r="C17" s="675" t="s">
        <v>96</v>
      </c>
      <c r="D17" s="676"/>
      <c r="E17" s="677"/>
      <c r="F17" s="695">
        <v>8.6999999999999993</v>
      </c>
      <c r="G17" s="696"/>
      <c r="H17" s="1"/>
      <c r="I17" s="20"/>
      <c r="J17" s="20"/>
      <c r="K17" s="19"/>
      <c r="L17" s="19"/>
      <c r="M17" s="18"/>
      <c r="N17" s="18"/>
    </row>
    <row r="18" spans="3:14" ht="21.2" customHeight="1">
      <c r="C18" s="672" t="s">
        <v>97</v>
      </c>
      <c r="D18" s="673"/>
      <c r="E18" s="674"/>
      <c r="F18" s="693">
        <v>9.4</v>
      </c>
      <c r="G18" s="694"/>
      <c r="H18" s="1"/>
      <c r="I18" s="20"/>
      <c r="J18" s="20"/>
      <c r="K18" s="19"/>
      <c r="L18" s="19"/>
      <c r="M18" s="18"/>
      <c r="N18" s="18"/>
    </row>
    <row r="19" spans="3:14" ht="21.2" customHeight="1">
      <c r="C19" s="675" t="s">
        <v>98</v>
      </c>
      <c r="D19" s="676"/>
      <c r="E19" s="677"/>
      <c r="F19" s="695">
        <v>8.6999999999999993</v>
      </c>
      <c r="G19" s="696"/>
      <c r="H19" s="1"/>
      <c r="I19" s="20"/>
      <c r="J19" s="20"/>
      <c r="K19" s="19"/>
      <c r="L19" s="19"/>
      <c r="M19" s="18"/>
      <c r="N19" s="18"/>
    </row>
    <row r="20" spans="3:14" ht="21.2" customHeight="1">
      <c r="C20" s="672" t="s">
        <v>99</v>
      </c>
      <c r="D20" s="673"/>
      <c r="E20" s="674"/>
      <c r="F20" s="693">
        <v>9.6</v>
      </c>
      <c r="G20" s="694"/>
      <c r="H20" s="1"/>
      <c r="I20" s="692"/>
      <c r="J20" s="692"/>
      <c r="K20" s="691"/>
      <c r="L20" s="691"/>
      <c r="M20" s="690"/>
      <c r="N20" s="690"/>
    </row>
    <row r="21" spans="3:14" ht="21.2" customHeight="1">
      <c r="C21" s="675" t="s">
        <v>100</v>
      </c>
      <c r="D21" s="676"/>
      <c r="E21" s="677"/>
      <c r="F21" s="695">
        <v>8.6999999999999993</v>
      </c>
      <c r="G21" s="696"/>
      <c r="H21" s="1"/>
      <c r="I21" s="692"/>
      <c r="J21" s="692"/>
      <c r="K21" s="691"/>
      <c r="L21" s="691"/>
      <c r="M21" s="690"/>
      <c r="N21" s="690"/>
    </row>
    <row r="22" spans="3:14" ht="21.2" customHeight="1">
      <c r="C22" s="672" t="s">
        <v>101</v>
      </c>
      <c r="D22" s="673"/>
      <c r="E22" s="674"/>
      <c r="F22" s="693">
        <v>8.6999999999999993</v>
      </c>
      <c r="G22" s="694"/>
      <c r="H22" s="1"/>
      <c r="I22" s="692"/>
      <c r="J22" s="692"/>
      <c r="K22" s="691"/>
      <c r="L22" s="691"/>
      <c r="M22" s="690"/>
      <c r="N22" s="690"/>
    </row>
    <row r="23" spans="3:14" ht="21.2" customHeight="1">
      <c r="C23" s="675" t="s">
        <v>102</v>
      </c>
      <c r="D23" s="676"/>
      <c r="E23" s="677"/>
      <c r="F23" s="695">
        <v>10.1</v>
      </c>
      <c r="G23" s="696"/>
      <c r="H23" s="1"/>
      <c r="I23" s="698"/>
      <c r="J23" s="698"/>
      <c r="K23" s="697"/>
      <c r="L23" s="697"/>
      <c r="M23" s="690"/>
      <c r="N23" s="690"/>
    </row>
    <row r="24" spans="3:14" ht="21.2" customHeight="1">
      <c r="C24" s="672" t="s">
        <v>15</v>
      </c>
      <c r="D24" s="673"/>
      <c r="E24" s="674"/>
      <c r="F24" s="693">
        <v>9.8000000000000007</v>
      </c>
      <c r="G24" s="694"/>
      <c r="H24" s="1"/>
      <c r="I24" s="2"/>
    </row>
    <row r="25" spans="3:14" ht="21.2" customHeight="1">
      <c r="C25" s="675" t="s">
        <v>5</v>
      </c>
      <c r="D25" s="676"/>
      <c r="E25" s="677"/>
      <c r="F25" s="695">
        <v>8.6999999999999993</v>
      </c>
      <c r="G25" s="696"/>
      <c r="H25" s="1"/>
      <c r="I25" s="2"/>
    </row>
    <row r="26" spans="3:14" ht="21.2" customHeight="1">
      <c r="C26" s="672" t="s">
        <v>103</v>
      </c>
      <c r="D26" s="673"/>
      <c r="E26" s="674"/>
      <c r="F26" s="693">
        <v>10.8</v>
      </c>
      <c r="G26" s="694"/>
      <c r="H26" s="1"/>
      <c r="I26" s="2"/>
    </row>
    <row r="27" spans="3:14" ht="21.2" customHeight="1">
      <c r="C27" s="675" t="s">
        <v>104</v>
      </c>
      <c r="D27" s="676"/>
      <c r="E27" s="677"/>
      <c r="F27" s="695">
        <v>8.8000000000000007</v>
      </c>
      <c r="G27" s="696"/>
      <c r="H27" s="1"/>
      <c r="I27" s="2"/>
    </row>
    <row r="28" spans="3:14" ht="21.2" customHeight="1">
      <c r="C28" s="672" t="s">
        <v>105</v>
      </c>
      <c r="D28" s="673"/>
      <c r="E28" s="674"/>
      <c r="F28" s="693">
        <v>8.6999999999999993</v>
      </c>
      <c r="G28" s="694"/>
      <c r="H28" s="1"/>
      <c r="I28" s="2"/>
    </row>
    <row r="29" spans="3:14" ht="21.2" customHeight="1">
      <c r="C29" s="675" t="s">
        <v>6</v>
      </c>
      <c r="D29" s="676"/>
      <c r="E29" s="677"/>
      <c r="F29" s="695">
        <v>10.9</v>
      </c>
      <c r="G29" s="696"/>
      <c r="H29" s="1"/>
      <c r="I29" s="2"/>
    </row>
    <row r="30" spans="3:14" ht="21.2" customHeight="1">
      <c r="C30" s="672" t="s">
        <v>106</v>
      </c>
      <c r="D30" s="673"/>
      <c r="E30" s="674"/>
      <c r="F30" s="693">
        <v>9.9</v>
      </c>
      <c r="G30" s="694"/>
      <c r="H30" s="1"/>
      <c r="I30" s="2"/>
    </row>
    <row r="31" spans="3:14" ht="21.2" customHeight="1">
      <c r="C31" s="675" t="s">
        <v>16</v>
      </c>
      <c r="D31" s="676"/>
      <c r="E31" s="677"/>
      <c r="F31" s="695">
        <v>9</v>
      </c>
      <c r="G31" s="696"/>
      <c r="H31" s="1"/>
      <c r="I31" s="2"/>
    </row>
    <row r="32" spans="3:14" ht="21.2" customHeight="1">
      <c r="C32" s="672" t="s">
        <v>107</v>
      </c>
      <c r="D32" s="673"/>
      <c r="E32" s="674"/>
      <c r="F32" s="693">
        <v>8.6999999999999993</v>
      </c>
      <c r="G32" s="694"/>
      <c r="H32" s="1"/>
      <c r="I32" s="2"/>
    </row>
    <row r="33" spans="3:9" ht="21.2" customHeight="1">
      <c r="C33" s="675" t="s">
        <v>108</v>
      </c>
      <c r="D33" s="676"/>
      <c r="E33" s="677"/>
      <c r="F33" s="695">
        <v>9</v>
      </c>
      <c r="G33" s="696"/>
      <c r="H33" s="1"/>
      <c r="I33" s="2"/>
    </row>
    <row r="34" spans="3:9" ht="21.2" customHeight="1">
      <c r="C34" s="672" t="s">
        <v>109</v>
      </c>
      <c r="D34" s="673"/>
      <c r="E34" s="674"/>
      <c r="F34" s="693">
        <v>8.6999999999999993</v>
      </c>
      <c r="G34" s="694"/>
      <c r="H34" s="1"/>
      <c r="I34" s="2"/>
    </row>
    <row r="35" spans="3:9" ht="21.2" customHeight="1">
      <c r="C35" s="675" t="s">
        <v>110</v>
      </c>
      <c r="D35" s="676"/>
      <c r="E35" s="677"/>
      <c r="F35" s="695">
        <v>8.6999999999999993</v>
      </c>
      <c r="G35" s="696"/>
      <c r="H35" s="1"/>
      <c r="I35" s="2"/>
    </row>
    <row r="36" spans="3:9" ht="21.2" customHeight="1">
      <c r="C36" s="672" t="s">
        <v>111</v>
      </c>
      <c r="D36" s="673"/>
      <c r="E36" s="674"/>
      <c r="F36" s="693">
        <v>8.6999999999999993</v>
      </c>
      <c r="G36" s="694"/>
      <c r="H36" s="1"/>
      <c r="I36" s="2"/>
    </row>
    <row r="37" spans="3:9" ht="21.2" customHeight="1">
      <c r="C37" s="675" t="s">
        <v>7</v>
      </c>
      <c r="D37" s="676"/>
      <c r="E37" s="677"/>
      <c r="F37" s="695">
        <v>17.2</v>
      </c>
      <c r="G37" s="696"/>
      <c r="H37" s="1"/>
      <c r="I37" s="2"/>
    </row>
    <row r="38" spans="3:9" ht="21.2" customHeight="1">
      <c r="C38" s="672" t="s">
        <v>112</v>
      </c>
      <c r="D38" s="673"/>
      <c r="E38" s="674"/>
      <c r="F38" s="693">
        <v>9.9</v>
      </c>
      <c r="G38" s="694"/>
      <c r="H38" s="1"/>
      <c r="I38" s="2"/>
    </row>
    <row r="39" spans="3:9" ht="21.2" customHeight="1">
      <c r="C39" s="675" t="s">
        <v>113</v>
      </c>
      <c r="D39" s="676"/>
      <c r="E39" s="677"/>
      <c r="F39" s="695">
        <v>9.8000000000000007</v>
      </c>
      <c r="G39" s="696"/>
      <c r="H39" s="1"/>
      <c r="I39" s="2"/>
    </row>
    <row r="40" spans="3:9" ht="21.2" customHeight="1">
      <c r="C40" s="672" t="s">
        <v>114</v>
      </c>
      <c r="D40" s="673"/>
      <c r="E40" s="674"/>
      <c r="F40" s="693">
        <v>9</v>
      </c>
      <c r="G40" s="694"/>
      <c r="H40" s="1"/>
      <c r="I40" s="2"/>
    </row>
    <row r="41" spans="3:9" ht="21.2" customHeight="1">
      <c r="C41" s="675" t="s">
        <v>115</v>
      </c>
      <c r="D41" s="676"/>
      <c r="E41" s="677"/>
      <c r="F41" s="695">
        <v>9</v>
      </c>
      <c r="G41" s="696"/>
      <c r="H41" s="1"/>
      <c r="I41" s="2"/>
    </row>
    <row r="42" spans="3:9" ht="21.2" customHeight="1">
      <c r="C42" s="672" t="s">
        <v>8</v>
      </c>
      <c r="D42" s="673"/>
      <c r="E42" s="674"/>
      <c r="F42" s="693">
        <v>9.6</v>
      </c>
      <c r="G42" s="694"/>
      <c r="H42" s="1"/>
      <c r="I42" s="2"/>
    </row>
    <row r="43" spans="3:9" ht="21.2" customHeight="1">
      <c r="C43" s="675" t="s">
        <v>9</v>
      </c>
      <c r="D43" s="676"/>
      <c r="E43" s="677"/>
      <c r="F43" s="695">
        <v>8.6999999999999993</v>
      </c>
      <c r="G43" s="696"/>
      <c r="H43" s="1"/>
      <c r="I43" s="2"/>
    </row>
    <row r="44" spans="3:9" ht="21.2" customHeight="1">
      <c r="C44" s="672" t="s">
        <v>116</v>
      </c>
      <c r="D44" s="673"/>
      <c r="E44" s="674"/>
      <c r="F44" s="693">
        <v>13.5</v>
      </c>
      <c r="G44" s="694"/>
      <c r="H44" s="1"/>
      <c r="I44" s="2"/>
    </row>
    <row r="45" spans="3:9" ht="21.2" customHeight="1">
      <c r="C45" s="675" t="s">
        <v>117</v>
      </c>
      <c r="D45" s="676"/>
      <c r="E45" s="677"/>
      <c r="F45" s="695">
        <v>12.2</v>
      </c>
      <c r="G45" s="696"/>
      <c r="H45" s="1"/>
      <c r="I45" s="2"/>
    </row>
    <row r="46" spans="3:9" ht="21.2" customHeight="1">
      <c r="C46" s="672" t="s">
        <v>17</v>
      </c>
      <c r="D46" s="673"/>
      <c r="E46" s="674"/>
      <c r="F46" s="693">
        <v>9.6</v>
      </c>
      <c r="G46" s="694"/>
      <c r="H46" s="1"/>
      <c r="I46" s="2"/>
    </row>
    <row r="47" spans="3:9" ht="21.2" customHeight="1">
      <c r="C47" s="675" t="s">
        <v>118</v>
      </c>
      <c r="D47" s="676"/>
      <c r="E47" s="677"/>
      <c r="F47" s="695">
        <v>9.1</v>
      </c>
      <c r="G47" s="696"/>
      <c r="H47" s="1"/>
      <c r="I47" s="2"/>
    </row>
    <row r="48" spans="3:9" ht="21.2" customHeight="1">
      <c r="C48" s="672" t="s">
        <v>119</v>
      </c>
      <c r="D48" s="673"/>
      <c r="E48" s="674"/>
      <c r="F48" s="693">
        <v>8.6999999999999993</v>
      </c>
      <c r="G48" s="694"/>
      <c r="H48" s="3"/>
      <c r="I48" s="2"/>
    </row>
    <row r="49" spans="3:9" ht="21.2" customHeight="1">
      <c r="C49" s="675" t="s">
        <v>120</v>
      </c>
      <c r="D49" s="676"/>
      <c r="E49" s="677"/>
      <c r="F49" s="695">
        <v>10.3</v>
      </c>
      <c r="G49" s="696"/>
      <c r="H49" s="3"/>
      <c r="I49" s="2"/>
    </row>
    <row r="50" spans="3:9" ht="21.2" customHeight="1">
      <c r="C50" s="672" t="s">
        <v>121</v>
      </c>
      <c r="D50" s="673"/>
      <c r="E50" s="674"/>
      <c r="F50" s="693">
        <v>12.9</v>
      </c>
      <c r="G50" s="694"/>
      <c r="H50" s="3"/>
      <c r="I50" s="2"/>
    </row>
    <row r="51" spans="3:9" ht="21.2" customHeight="1">
      <c r="C51" s="675" t="s">
        <v>122</v>
      </c>
      <c r="D51" s="676"/>
      <c r="E51" s="677"/>
      <c r="F51" s="695">
        <v>8.8000000000000007</v>
      </c>
      <c r="G51" s="696"/>
      <c r="H51" s="3"/>
      <c r="I51" s="2"/>
    </row>
    <row r="52" spans="3:9" ht="21.2" customHeight="1">
      <c r="C52" s="672" t="s">
        <v>10</v>
      </c>
      <c r="D52" s="673"/>
      <c r="E52" s="674"/>
      <c r="F52" s="693">
        <v>8.6999999999999993</v>
      </c>
      <c r="G52" s="694"/>
      <c r="H52" s="3"/>
      <c r="I52" s="2"/>
    </row>
    <row r="53" spans="3:9" ht="21.2" customHeight="1">
      <c r="C53" s="675" t="s">
        <v>123</v>
      </c>
      <c r="D53" s="676"/>
      <c r="E53" s="677"/>
      <c r="F53" s="695">
        <v>10</v>
      </c>
      <c r="G53" s="696"/>
      <c r="H53" s="3"/>
      <c r="I53" s="2"/>
    </row>
    <row r="54" spans="3:9" ht="21.2" customHeight="1">
      <c r="C54" s="672" t="s">
        <v>18</v>
      </c>
      <c r="D54" s="673"/>
      <c r="E54" s="674"/>
      <c r="F54" s="693">
        <v>8.6999999999999993</v>
      </c>
      <c r="G54" s="694"/>
      <c r="H54" s="3"/>
      <c r="I54" s="2"/>
    </row>
    <row r="55" spans="3:9" ht="21.2" customHeight="1">
      <c r="C55" s="675" t="s">
        <v>124</v>
      </c>
      <c r="D55" s="676"/>
      <c r="E55" s="677"/>
      <c r="F55" s="695">
        <v>11.2</v>
      </c>
      <c r="G55" s="696"/>
      <c r="H55" s="3"/>
      <c r="I55" s="2"/>
    </row>
    <row r="56" spans="3:9" ht="21.2" customHeight="1">
      <c r="C56" s="672" t="s">
        <v>125</v>
      </c>
      <c r="D56" s="673"/>
      <c r="E56" s="674"/>
      <c r="F56" s="693">
        <v>9.5</v>
      </c>
      <c r="G56" s="694"/>
      <c r="H56" s="3"/>
      <c r="I56" s="2"/>
    </row>
    <row r="57" spans="3:9" ht="21.2" customHeight="1">
      <c r="C57" s="675" t="s">
        <v>126</v>
      </c>
      <c r="D57" s="676"/>
      <c r="E57" s="677"/>
      <c r="F57" s="695">
        <v>9.6</v>
      </c>
      <c r="G57" s="696"/>
      <c r="H57" s="3"/>
      <c r="I57" s="2"/>
    </row>
    <row r="58" spans="3:9" ht="21.2" customHeight="1">
      <c r="C58" s="672" t="s">
        <v>127</v>
      </c>
      <c r="D58" s="673"/>
      <c r="E58" s="674"/>
      <c r="F58" s="693">
        <v>8.6999999999999993</v>
      </c>
      <c r="G58" s="694"/>
      <c r="H58" s="3"/>
      <c r="I58" s="2"/>
    </row>
    <row r="59" spans="3:9" ht="21.2" customHeight="1">
      <c r="C59" s="675" t="s">
        <v>128</v>
      </c>
      <c r="D59" s="676"/>
      <c r="E59" s="677"/>
      <c r="F59" s="695">
        <v>8.6999999999999993</v>
      </c>
      <c r="G59" s="696"/>
      <c r="H59" s="3"/>
      <c r="I59" s="2"/>
    </row>
    <row r="60" spans="3:9" ht="21.2" customHeight="1">
      <c r="C60" s="672" t="s">
        <v>129</v>
      </c>
      <c r="D60" s="673"/>
      <c r="E60" s="674"/>
      <c r="F60" s="693">
        <v>8.6999999999999993</v>
      </c>
      <c r="G60" s="694"/>
      <c r="H60" s="3"/>
      <c r="I60" s="2"/>
    </row>
    <row r="61" spans="3:9" ht="21.2" customHeight="1">
      <c r="C61" s="675" t="s">
        <v>130</v>
      </c>
      <c r="D61" s="676"/>
      <c r="E61" s="677"/>
      <c r="F61" s="695">
        <v>9.5</v>
      </c>
      <c r="G61" s="696"/>
      <c r="H61" s="3"/>
      <c r="I61" s="2"/>
    </row>
    <row r="62" spans="3:9" ht="21.2" customHeight="1" thickBot="1">
      <c r="C62" s="669" t="s">
        <v>131</v>
      </c>
      <c r="D62" s="670"/>
      <c r="E62" s="671"/>
      <c r="F62" s="704">
        <v>8.6999999999999993</v>
      </c>
      <c r="G62" s="705"/>
      <c r="H62" s="3"/>
      <c r="I62" s="2"/>
    </row>
  </sheetData>
  <sheetProtection password="8FC2" sheet="1" objects="1" scenarios="1"/>
  <mergeCells count="140">
    <mergeCell ref="F54:G54"/>
    <mergeCell ref="F47:G47"/>
    <mergeCell ref="F48:G48"/>
    <mergeCell ref="F49:G49"/>
    <mergeCell ref="F50:G50"/>
    <mergeCell ref="F59:G59"/>
    <mergeCell ref="F60:G60"/>
    <mergeCell ref="F61:G61"/>
    <mergeCell ref="F62:G62"/>
    <mergeCell ref="F55:G55"/>
    <mergeCell ref="F56:G56"/>
    <mergeCell ref="F57:G57"/>
    <mergeCell ref="F58:G58"/>
    <mergeCell ref="F45:G45"/>
    <mergeCell ref="F46:G46"/>
    <mergeCell ref="F39:G39"/>
    <mergeCell ref="F40:G40"/>
    <mergeCell ref="F41:G41"/>
    <mergeCell ref="F42:G42"/>
    <mergeCell ref="F51:G51"/>
    <mergeCell ref="F52:G52"/>
    <mergeCell ref="F53:G53"/>
    <mergeCell ref="F36:G36"/>
    <mergeCell ref="F37:G37"/>
    <mergeCell ref="F38:G38"/>
    <mergeCell ref="F31:G31"/>
    <mergeCell ref="F32:G32"/>
    <mergeCell ref="F33:G33"/>
    <mergeCell ref="F34:G34"/>
    <mergeCell ref="F43:G43"/>
    <mergeCell ref="F44:G44"/>
    <mergeCell ref="F27:G27"/>
    <mergeCell ref="F28:G28"/>
    <mergeCell ref="F29:G29"/>
    <mergeCell ref="F30:G30"/>
    <mergeCell ref="F23:G23"/>
    <mergeCell ref="F24:G24"/>
    <mergeCell ref="F25:G25"/>
    <mergeCell ref="F26:G26"/>
    <mergeCell ref="F35:G35"/>
    <mergeCell ref="C1:G1"/>
    <mergeCell ref="K22:L22"/>
    <mergeCell ref="I22:J22"/>
    <mergeCell ref="C13:E13"/>
    <mergeCell ref="C6:E6"/>
    <mergeCell ref="C7:E7"/>
    <mergeCell ref="F19:G19"/>
    <mergeCell ref="F20:G20"/>
    <mergeCell ref="F21:G21"/>
    <mergeCell ref="F22:G22"/>
    <mergeCell ref="F16:G16"/>
    <mergeCell ref="F3:G3"/>
    <mergeCell ref="F17:G17"/>
    <mergeCell ref="F18:G18"/>
    <mergeCell ref="F4:G4"/>
    <mergeCell ref="F5:G5"/>
    <mergeCell ref="F14:G14"/>
    <mergeCell ref="F15:G15"/>
    <mergeCell ref="F10:G10"/>
    <mergeCell ref="F11:G11"/>
    <mergeCell ref="F12:G12"/>
    <mergeCell ref="F13:G13"/>
    <mergeCell ref="C14:E14"/>
    <mergeCell ref="C15:E15"/>
    <mergeCell ref="M23:N23"/>
    <mergeCell ref="K23:L23"/>
    <mergeCell ref="I23:J23"/>
    <mergeCell ref="M22:N22"/>
    <mergeCell ref="M21:N21"/>
    <mergeCell ref="I20:J20"/>
    <mergeCell ref="I21:J21"/>
    <mergeCell ref="K20:L20"/>
    <mergeCell ref="K21:L21"/>
    <mergeCell ref="M20:N20"/>
    <mergeCell ref="C10:E10"/>
    <mergeCell ref="C11:E11"/>
    <mergeCell ref="C12:E12"/>
    <mergeCell ref="M6:N6"/>
    <mergeCell ref="K6:L6"/>
    <mergeCell ref="I6:J6"/>
    <mergeCell ref="F6:G6"/>
    <mergeCell ref="F7:G7"/>
    <mergeCell ref="F8:G8"/>
    <mergeCell ref="F9:G9"/>
    <mergeCell ref="C2:G2"/>
    <mergeCell ref="H2:I3"/>
    <mergeCell ref="J3:K3"/>
    <mergeCell ref="I5:N5"/>
    <mergeCell ref="C4:E4"/>
    <mergeCell ref="C5:E5"/>
    <mergeCell ref="C3:E3"/>
    <mergeCell ref="C8:E8"/>
    <mergeCell ref="C9:E9"/>
    <mergeCell ref="C20:E20"/>
    <mergeCell ref="C21:E21"/>
    <mergeCell ref="C22:E22"/>
    <mergeCell ref="C23:E23"/>
    <mergeCell ref="C24:E24"/>
    <mergeCell ref="C25:E25"/>
    <mergeCell ref="C16:E16"/>
    <mergeCell ref="C17:E17"/>
    <mergeCell ref="C18:E18"/>
    <mergeCell ref="C19:E19"/>
    <mergeCell ref="C32:E32"/>
    <mergeCell ref="C33:E33"/>
    <mergeCell ref="C34:E34"/>
    <mergeCell ref="C35:E35"/>
    <mergeCell ref="C36:E36"/>
    <mergeCell ref="C37:E37"/>
    <mergeCell ref="C26:E26"/>
    <mergeCell ref="C27:E27"/>
    <mergeCell ref="C28:E28"/>
    <mergeCell ref="C29:E29"/>
    <mergeCell ref="C30:E30"/>
    <mergeCell ref="C31:E31"/>
    <mergeCell ref="C44:E44"/>
    <mergeCell ref="C45:E45"/>
    <mergeCell ref="C46:E46"/>
    <mergeCell ref="C47:E47"/>
    <mergeCell ref="C48:E48"/>
    <mergeCell ref="C49:E49"/>
    <mergeCell ref="C38:E38"/>
    <mergeCell ref="C39:E39"/>
    <mergeCell ref="C40:E40"/>
    <mergeCell ref="C41:E41"/>
    <mergeCell ref="C42:E42"/>
    <mergeCell ref="C43:E43"/>
    <mergeCell ref="C62:E62"/>
    <mergeCell ref="C56:E56"/>
    <mergeCell ref="C57:E57"/>
    <mergeCell ref="C58:E58"/>
    <mergeCell ref="C59:E59"/>
    <mergeCell ref="C60:E60"/>
    <mergeCell ref="C61:E61"/>
    <mergeCell ref="C50:E50"/>
    <mergeCell ref="C51:E51"/>
    <mergeCell ref="C52:E52"/>
    <mergeCell ref="C53:E53"/>
    <mergeCell ref="C54:E54"/>
    <mergeCell ref="C55:E55"/>
  </mergeCells>
  <phoneticPr fontId="2" type="noConversion"/>
  <hyperlinks>
    <hyperlink ref="H2" location="'Calculation Sheet'!A1" display="Back" xr:uid="{00000000-0004-0000-0B00-000000000000}"/>
    <hyperlink ref="H2:I3" location="'Surface Fire'!A1" display="Back" xr:uid="{00000000-0004-0000-0B00-000001000000}"/>
  </hyperlinks>
  <printOptions horizontalCentered="1"/>
  <pageMargins left="0.39370078740157483" right="0.39370078740157483" top="0.39370078740157483" bottom="1.1811023622047245" header="0.51181102362204722" footer="0.51181102362204722"/>
  <pageSetup paperSize="9" orientation="portrait" horizontalDpi="300" verticalDpi="300" r:id="rId1"/>
  <headerFooter alignWithMargins="0">
    <oddFooter xml:space="preserve">&amp;L&amp;"Arial,Bold Italic"&amp;7Tel  : +98 ( 21 ) 66 51  9367
         +98 ( 21 ) 66 51  9368
Fax : +98 ( 21 ) 66 51  7481&amp;C&amp;"Arial,Bold Italic"&amp;7-  5  -&amp;R&amp;"Arial,Bold Italic"&amp;7Design by Ali  Cheraghi
                 ( BSEE )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16"/>
  </sheetPr>
  <dimension ref="A1:V37"/>
  <sheetViews>
    <sheetView showGridLines="0" view="pageBreakPreview" workbookViewId="0">
      <selection activeCell="A5" sqref="A5:V6"/>
    </sheetView>
  </sheetViews>
  <sheetFormatPr defaultColWidth="5.5703125" defaultRowHeight="15" customHeight="1"/>
  <cols>
    <col min="1" max="5" width="6.5703125" style="56" customWidth="1"/>
    <col min="6" max="12" width="5.5703125" style="56" customWidth="1"/>
    <col min="13" max="17" width="6.5703125" style="56" customWidth="1"/>
    <col min="18" max="16384" width="5.5703125" style="56"/>
  </cols>
  <sheetData>
    <row r="1" spans="1:22" ht="10.15" customHeight="1">
      <c r="A1" s="766" t="s">
        <v>39</v>
      </c>
      <c r="B1" s="767"/>
      <c r="C1" s="767"/>
      <c r="D1" s="767"/>
      <c r="E1" s="767"/>
      <c r="F1" s="767"/>
      <c r="G1" s="767"/>
      <c r="H1" s="767"/>
      <c r="I1" s="767"/>
      <c r="J1" s="767"/>
      <c r="K1" s="767"/>
      <c r="L1" s="767"/>
      <c r="M1" s="767"/>
      <c r="N1" s="767"/>
      <c r="O1" s="767"/>
      <c r="P1" s="767"/>
      <c r="Q1" s="767"/>
      <c r="R1" s="767"/>
      <c r="S1" s="767"/>
      <c r="T1" s="767"/>
      <c r="U1" s="767"/>
      <c r="V1" s="768"/>
    </row>
    <row r="2" spans="1:22" ht="10.15" customHeight="1">
      <c r="A2" s="769"/>
      <c r="B2" s="770"/>
      <c r="C2" s="770"/>
      <c r="D2" s="770"/>
      <c r="E2" s="770"/>
      <c r="F2" s="770"/>
      <c r="G2" s="770"/>
      <c r="H2" s="770"/>
      <c r="I2" s="770"/>
      <c r="J2" s="770"/>
      <c r="K2" s="770"/>
      <c r="L2" s="770"/>
      <c r="M2" s="770"/>
      <c r="N2" s="770"/>
      <c r="O2" s="770"/>
      <c r="P2" s="770"/>
      <c r="Q2" s="770"/>
      <c r="R2" s="770"/>
      <c r="S2" s="770"/>
      <c r="T2" s="770"/>
      <c r="U2" s="770"/>
      <c r="V2" s="771"/>
    </row>
    <row r="3" spans="1:22" ht="10.15" customHeight="1">
      <c r="A3" s="769"/>
      <c r="B3" s="770"/>
      <c r="C3" s="770"/>
      <c r="D3" s="770"/>
      <c r="E3" s="770"/>
      <c r="F3" s="770"/>
      <c r="G3" s="770"/>
      <c r="H3" s="770"/>
      <c r="I3" s="770"/>
      <c r="J3" s="770"/>
      <c r="K3" s="770"/>
      <c r="L3" s="770"/>
      <c r="M3" s="770"/>
      <c r="N3" s="770"/>
      <c r="O3" s="770"/>
      <c r="P3" s="770"/>
      <c r="Q3" s="770"/>
      <c r="R3" s="770"/>
      <c r="S3" s="770"/>
      <c r="T3" s="770"/>
      <c r="U3" s="770"/>
      <c r="V3" s="771"/>
    </row>
    <row r="4" spans="1:22" ht="13.9" customHeight="1">
      <c r="A4" s="753" t="s">
        <v>40</v>
      </c>
      <c r="B4" s="754"/>
      <c r="C4" s="754"/>
      <c r="D4" s="754"/>
      <c r="E4" s="754"/>
      <c r="F4" s="754"/>
      <c r="G4" s="754"/>
      <c r="H4" s="754"/>
      <c r="I4" s="754"/>
      <c r="J4" s="754"/>
      <c r="K4" s="754"/>
      <c r="L4" s="754"/>
      <c r="M4" s="754"/>
      <c r="N4" s="754"/>
      <c r="O4" s="754"/>
      <c r="P4" s="754"/>
      <c r="Q4" s="754"/>
      <c r="R4" s="754"/>
      <c r="S4" s="754"/>
      <c r="T4" s="754"/>
      <c r="U4" s="754"/>
      <c r="V4" s="755"/>
    </row>
    <row r="5" spans="1:22" ht="13.9" customHeight="1">
      <c r="A5" s="753" t="s">
        <v>41</v>
      </c>
      <c r="B5" s="754"/>
      <c r="C5" s="754"/>
      <c r="D5" s="754"/>
      <c r="E5" s="754"/>
      <c r="F5" s="754"/>
      <c r="G5" s="754"/>
      <c r="H5" s="754"/>
      <c r="I5" s="754"/>
      <c r="J5" s="754"/>
      <c r="K5" s="754"/>
      <c r="L5" s="754"/>
      <c r="M5" s="754"/>
      <c r="N5" s="754"/>
      <c r="O5" s="754"/>
      <c r="P5" s="754"/>
      <c r="Q5" s="754"/>
      <c r="R5" s="754"/>
      <c r="S5" s="754"/>
      <c r="T5" s="754"/>
      <c r="U5" s="754"/>
      <c r="V5" s="755"/>
    </row>
    <row r="6" spans="1:22" ht="13.9" customHeight="1" thickBot="1">
      <c r="A6" s="772"/>
      <c r="B6" s="773"/>
      <c r="C6" s="773"/>
      <c r="D6" s="773"/>
      <c r="E6" s="773"/>
      <c r="F6" s="773"/>
      <c r="G6" s="773"/>
      <c r="H6" s="773"/>
      <c r="I6" s="773"/>
      <c r="J6" s="773"/>
      <c r="K6" s="773"/>
      <c r="L6" s="773"/>
      <c r="M6" s="773"/>
      <c r="N6" s="773"/>
      <c r="O6" s="773"/>
      <c r="P6" s="773"/>
      <c r="Q6" s="773"/>
      <c r="R6" s="773"/>
      <c r="S6" s="773"/>
      <c r="T6" s="773"/>
      <c r="U6" s="773"/>
      <c r="V6" s="774"/>
    </row>
    <row r="8" spans="1:22" ht="15" customHeight="1">
      <c r="A8" s="781" t="s">
        <v>42</v>
      </c>
      <c r="B8" s="781"/>
      <c r="C8" s="781"/>
      <c r="D8" s="781"/>
      <c r="E8" s="781"/>
      <c r="F8" s="781"/>
      <c r="G8" s="781"/>
      <c r="H8" s="781"/>
      <c r="I8" s="781"/>
      <c r="J8" s="781"/>
      <c r="K8" s="781"/>
      <c r="L8" s="781"/>
      <c r="M8" s="781"/>
      <c r="N8" s="781"/>
      <c r="O8" s="781"/>
      <c r="P8" s="781"/>
      <c r="Q8" s="781"/>
      <c r="R8" s="781"/>
      <c r="S8" s="781"/>
      <c r="T8" s="781"/>
      <c r="U8" s="781"/>
      <c r="V8" s="781"/>
    </row>
    <row r="9" spans="1:22" ht="15" customHeight="1" thickBot="1"/>
    <row r="10" spans="1:22" ht="16.149999999999999" customHeight="1" thickBot="1">
      <c r="A10" s="706" t="s">
        <v>42</v>
      </c>
      <c r="B10" s="707"/>
      <c r="C10" s="707"/>
      <c r="D10" s="707"/>
      <c r="E10" s="707"/>
      <c r="F10" s="707" t="s">
        <v>43</v>
      </c>
      <c r="G10" s="707"/>
      <c r="H10" s="707"/>
      <c r="I10" s="707"/>
      <c r="J10" s="708"/>
      <c r="M10" s="729" t="s">
        <v>42</v>
      </c>
      <c r="N10" s="707"/>
      <c r="O10" s="707"/>
      <c r="P10" s="707"/>
      <c r="Q10" s="707"/>
      <c r="R10" s="707" t="s">
        <v>43</v>
      </c>
      <c r="S10" s="707"/>
      <c r="T10" s="707"/>
      <c r="U10" s="707"/>
      <c r="V10" s="708"/>
    </row>
    <row r="11" spans="1:22" ht="18" customHeight="1">
      <c r="A11" s="709" t="s">
        <v>44</v>
      </c>
      <c r="B11" s="710"/>
      <c r="C11" s="710"/>
      <c r="D11" s="710"/>
      <c r="E11" s="710"/>
      <c r="F11" s="710" t="s">
        <v>54</v>
      </c>
      <c r="G11" s="710"/>
      <c r="H11" s="710"/>
      <c r="I11" s="710"/>
      <c r="J11" s="713"/>
      <c r="M11" s="709" t="s">
        <v>44</v>
      </c>
      <c r="N11" s="710"/>
      <c r="O11" s="710"/>
      <c r="P11" s="710"/>
      <c r="Q11" s="710"/>
      <c r="R11" s="710" t="s">
        <v>63</v>
      </c>
      <c r="S11" s="710"/>
      <c r="T11" s="710"/>
      <c r="U11" s="710"/>
      <c r="V11" s="713"/>
    </row>
    <row r="12" spans="1:22" ht="18" customHeight="1">
      <c r="A12" s="711" t="s">
        <v>45</v>
      </c>
      <c r="B12" s="712"/>
      <c r="C12" s="712"/>
      <c r="D12" s="712"/>
      <c r="E12" s="712"/>
      <c r="F12" s="712" t="s">
        <v>55</v>
      </c>
      <c r="G12" s="712"/>
      <c r="H12" s="712"/>
      <c r="I12" s="712"/>
      <c r="J12" s="714"/>
      <c r="M12" s="711" t="s">
        <v>45</v>
      </c>
      <c r="N12" s="712"/>
      <c r="O12" s="712"/>
      <c r="P12" s="712"/>
      <c r="Q12" s="712"/>
      <c r="R12" s="712" t="s">
        <v>64</v>
      </c>
      <c r="S12" s="712"/>
      <c r="T12" s="712"/>
      <c r="U12" s="712"/>
      <c r="V12" s="714"/>
    </row>
    <row r="13" spans="1:22" ht="18" customHeight="1">
      <c r="A13" s="715" t="s">
        <v>46</v>
      </c>
      <c r="B13" s="716"/>
      <c r="C13" s="716"/>
      <c r="D13" s="716"/>
      <c r="E13" s="716"/>
      <c r="F13" s="717">
        <v>170.03</v>
      </c>
      <c r="G13" s="717"/>
      <c r="H13" s="717"/>
      <c r="I13" s="717"/>
      <c r="J13" s="718"/>
      <c r="M13" s="715" t="s">
        <v>46</v>
      </c>
      <c r="N13" s="716"/>
      <c r="O13" s="716"/>
      <c r="P13" s="716"/>
      <c r="Q13" s="716"/>
      <c r="R13" s="717" t="s">
        <v>65</v>
      </c>
      <c r="S13" s="717"/>
      <c r="T13" s="717"/>
      <c r="U13" s="717"/>
      <c r="V13" s="718"/>
    </row>
    <row r="14" spans="1:22" ht="18" customHeight="1">
      <c r="A14" s="711" t="s">
        <v>47</v>
      </c>
      <c r="B14" s="712"/>
      <c r="C14" s="712"/>
      <c r="D14" s="712"/>
      <c r="E14" s="712"/>
      <c r="F14" s="719" t="s">
        <v>61</v>
      </c>
      <c r="G14" s="719"/>
      <c r="H14" s="719"/>
      <c r="I14" s="719"/>
      <c r="J14" s="720"/>
      <c r="M14" s="711" t="s">
        <v>47</v>
      </c>
      <c r="N14" s="712"/>
      <c r="O14" s="712"/>
      <c r="P14" s="712"/>
      <c r="Q14" s="712"/>
      <c r="R14" s="719" t="s">
        <v>66</v>
      </c>
      <c r="S14" s="719"/>
      <c r="T14" s="719"/>
      <c r="U14" s="719"/>
      <c r="V14" s="720"/>
    </row>
    <row r="15" spans="1:22" ht="18" customHeight="1">
      <c r="A15" s="715" t="s">
        <v>48</v>
      </c>
      <c r="B15" s="716"/>
      <c r="C15" s="716"/>
      <c r="D15" s="716"/>
      <c r="E15" s="716"/>
      <c r="F15" s="717" t="s">
        <v>62</v>
      </c>
      <c r="G15" s="717"/>
      <c r="H15" s="717"/>
      <c r="I15" s="717"/>
      <c r="J15" s="718"/>
      <c r="M15" s="715" t="s">
        <v>48</v>
      </c>
      <c r="N15" s="716"/>
      <c r="O15" s="716"/>
      <c r="P15" s="716"/>
      <c r="Q15" s="716"/>
      <c r="R15" s="717" t="s">
        <v>67</v>
      </c>
      <c r="S15" s="717"/>
      <c r="T15" s="717"/>
      <c r="U15" s="717"/>
      <c r="V15" s="718"/>
    </row>
    <row r="16" spans="1:22" ht="18" customHeight="1">
      <c r="A16" s="711" t="s">
        <v>49</v>
      </c>
      <c r="B16" s="712"/>
      <c r="C16" s="712"/>
      <c r="D16" s="712"/>
      <c r="E16" s="712"/>
      <c r="F16" s="725" t="s">
        <v>56</v>
      </c>
      <c r="G16" s="725"/>
      <c r="H16" s="725"/>
      <c r="I16" s="725"/>
      <c r="J16" s="726"/>
      <c r="M16" s="711" t="s">
        <v>49</v>
      </c>
      <c r="N16" s="712"/>
      <c r="O16" s="712"/>
      <c r="P16" s="712"/>
      <c r="Q16" s="712"/>
      <c r="R16" s="719" t="s">
        <v>68</v>
      </c>
      <c r="S16" s="719"/>
      <c r="T16" s="719"/>
      <c r="U16" s="719"/>
      <c r="V16" s="720"/>
    </row>
    <row r="17" spans="1:22" ht="18" customHeight="1">
      <c r="A17" s="715" t="s">
        <v>50</v>
      </c>
      <c r="B17" s="716"/>
      <c r="C17" s="716"/>
      <c r="D17" s="716"/>
      <c r="E17" s="716"/>
      <c r="F17" s="727" t="s">
        <v>57</v>
      </c>
      <c r="G17" s="727"/>
      <c r="H17" s="727"/>
      <c r="I17" s="727"/>
      <c r="J17" s="728"/>
      <c r="M17" s="715" t="s">
        <v>50</v>
      </c>
      <c r="N17" s="716"/>
      <c r="O17" s="716"/>
      <c r="P17" s="716"/>
      <c r="Q17" s="716"/>
      <c r="R17" s="727" t="s">
        <v>69</v>
      </c>
      <c r="S17" s="727"/>
      <c r="T17" s="727"/>
      <c r="U17" s="727"/>
      <c r="V17" s="728"/>
    </row>
    <row r="18" spans="1:22" ht="18" customHeight="1">
      <c r="A18" s="711" t="s">
        <v>51</v>
      </c>
      <c r="B18" s="712"/>
      <c r="C18" s="712"/>
      <c r="D18" s="712"/>
      <c r="E18" s="712"/>
      <c r="F18" s="725" t="s">
        <v>58</v>
      </c>
      <c r="G18" s="725"/>
      <c r="H18" s="725"/>
      <c r="I18" s="725"/>
      <c r="J18" s="726"/>
      <c r="M18" s="764" t="s">
        <v>290</v>
      </c>
      <c r="N18" s="765"/>
      <c r="O18" s="765"/>
      <c r="P18" s="765"/>
      <c r="Q18" s="765"/>
      <c r="R18" s="776" t="s">
        <v>60</v>
      </c>
      <c r="S18" s="776"/>
      <c r="T18" s="776"/>
      <c r="U18" s="776"/>
      <c r="V18" s="777"/>
    </row>
    <row r="19" spans="1:22" ht="18" customHeight="1" thickBot="1">
      <c r="A19" s="715" t="s">
        <v>52</v>
      </c>
      <c r="B19" s="716"/>
      <c r="C19" s="716"/>
      <c r="D19" s="716"/>
      <c r="E19" s="716"/>
      <c r="F19" s="727" t="s">
        <v>59</v>
      </c>
      <c r="G19" s="727"/>
      <c r="H19" s="727"/>
      <c r="I19" s="727"/>
      <c r="J19" s="728"/>
      <c r="M19" s="778" t="s">
        <v>53</v>
      </c>
      <c r="N19" s="779"/>
      <c r="O19" s="779"/>
      <c r="P19" s="779"/>
      <c r="Q19" s="779"/>
      <c r="R19" s="779"/>
      <c r="S19" s="779"/>
      <c r="T19" s="779"/>
      <c r="U19" s="779"/>
      <c r="V19" s="780"/>
    </row>
    <row r="20" spans="1:22" ht="18" customHeight="1">
      <c r="A20" s="721" t="s">
        <v>289</v>
      </c>
      <c r="B20" s="722"/>
      <c r="C20" s="722"/>
      <c r="D20" s="722"/>
      <c r="E20" s="722"/>
      <c r="F20" s="725" t="s">
        <v>60</v>
      </c>
      <c r="G20" s="725"/>
      <c r="H20" s="725"/>
      <c r="I20" s="725"/>
      <c r="J20" s="726"/>
      <c r="M20" s="775"/>
      <c r="N20" s="775"/>
      <c r="O20" s="775"/>
      <c r="P20" s="775"/>
      <c r="Q20" s="775"/>
      <c r="R20" s="775"/>
      <c r="S20" s="775"/>
      <c r="T20" s="775"/>
      <c r="U20" s="775"/>
      <c r="V20" s="775"/>
    </row>
    <row r="21" spans="1:22" ht="18" customHeight="1" thickBot="1">
      <c r="A21" s="723" t="s">
        <v>53</v>
      </c>
      <c r="B21" s="724"/>
      <c r="C21" s="724"/>
      <c r="D21" s="724"/>
      <c r="E21" s="724"/>
      <c r="F21" s="724"/>
      <c r="G21" s="724"/>
      <c r="H21" s="724"/>
      <c r="I21" s="724"/>
      <c r="J21" s="762"/>
      <c r="M21" s="763"/>
      <c r="N21" s="763"/>
      <c r="O21" s="763"/>
      <c r="P21" s="763"/>
      <c r="Q21" s="763"/>
      <c r="R21" s="763"/>
      <c r="S21" s="763"/>
      <c r="T21" s="763"/>
      <c r="U21" s="763"/>
      <c r="V21" s="763"/>
    </row>
    <row r="23" spans="1:22" ht="15" customHeight="1">
      <c r="A23" s="781" t="s">
        <v>70</v>
      </c>
      <c r="B23" s="781"/>
      <c r="C23" s="781"/>
      <c r="D23" s="781"/>
      <c r="E23" s="781"/>
      <c r="F23" s="781"/>
      <c r="G23" s="781"/>
      <c r="H23" s="781"/>
      <c r="I23" s="781"/>
      <c r="J23" s="781"/>
    </row>
    <row r="24" spans="1:22" ht="15" customHeight="1" thickBot="1">
      <c r="B24" s="68"/>
    </row>
    <row r="25" spans="1:22" ht="16.149999999999999" customHeight="1" thickBot="1">
      <c r="A25" s="756" t="s">
        <v>71</v>
      </c>
      <c r="B25" s="757"/>
      <c r="C25" s="757"/>
      <c r="D25" s="757"/>
      <c r="E25" s="757"/>
      <c r="F25" s="757"/>
      <c r="G25" s="758"/>
      <c r="H25" s="69"/>
      <c r="I25" s="69"/>
      <c r="J25" s="70"/>
      <c r="M25" s="706" t="s">
        <v>42</v>
      </c>
      <c r="N25" s="707"/>
      <c r="O25" s="707"/>
      <c r="P25" s="707"/>
      <c r="Q25" s="707"/>
      <c r="R25" s="707" t="s">
        <v>43</v>
      </c>
      <c r="S25" s="707"/>
      <c r="T25" s="707"/>
      <c r="U25" s="707"/>
      <c r="V25" s="708"/>
    </row>
    <row r="26" spans="1:22" ht="18" customHeight="1">
      <c r="A26" s="759" t="s">
        <v>72</v>
      </c>
      <c r="B26" s="760"/>
      <c r="C26" s="760"/>
      <c r="D26" s="760"/>
      <c r="E26" s="760"/>
      <c r="F26" s="760"/>
      <c r="G26" s="761"/>
      <c r="H26" s="71">
        <v>0</v>
      </c>
      <c r="I26" s="71"/>
      <c r="J26" s="72"/>
      <c r="M26" s="709" t="s">
        <v>141</v>
      </c>
      <c r="N26" s="710"/>
      <c r="O26" s="710"/>
      <c r="P26" s="710"/>
      <c r="Q26" s="710"/>
      <c r="R26" s="710" t="s">
        <v>142</v>
      </c>
      <c r="S26" s="710"/>
      <c r="T26" s="710"/>
      <c r="U26" s="710"/>
      <c r="V26" s="713"/>
    </row>
    <row r="27" spans="1:22" ht="22.15" customHeight="1">
      <c r="A27" s="750" t="s">
        <v>73</v>
      </c>
      <c r="B27" s="751"/>
      <c r="C27" s="751"/>
      <c r="D27" s="751"/>
      <c r="E27" s="751"/>
      <c r="F27" s="751"/>
      <c r="G27" s="752"/>
      <c r="H27" s="733">
        <v>36.5</v>
      </c>
      <c r="I27" s="734"/>
      <c r="J27" s="735"/>
      <c r="M27" s="711" t="s">
        <v>143</v>
      </c>
      <c r="N27" s="712"/>
      <c r="O27" s="712"/>
      <c r="P27" s="712"/>
      <c r="Q27" s="712"/>
      <c r="R27" s="712" t="s">
        <v>144</v>
      </c>
      <c r="S27" s="712"/>
      <c r="T27" s="712"/>
      <c r="U27" s="712"/>
      <c r="V27" s="714"/>
    </row>
    <row r="28" spans="1:22" ht="18" customHeight="1">
      <c r="A28" s="745" t="s">
        <v>74</v>
      </c>
      <c r="B28" s="746"/>
      <c r="C28" s="746"/>
      <c r="D28" s="746"/>
      <c r="E28" s="746"/>
      <c r="F28" s="746"/>
      <c r="G28" s="747"/>
      <c r="H28" s="739"/>
      <c r="I28" s="740"/>
      <c r="J28" s="741"/>
      <c r="M28" s="715" t="s">
        <v>145</v>
      </c>
      <c r="N28" s="716"/>
      <c r="O28" s="716"/>
      <c r="P28" s="716"/>
      <c r="Q28" s="716"/>
      <c r="R28" s="717" t="s">
        <v>146</v>
      </c>
      <c r="S28" s="717"/>
      <c r="T28" s="717"/>
      <c r="U28" s="717"/>
      <c r="V28" s="718"/>
    </row>
    <row r="29" spans="1:22" ht="18" customHeight="1">
      <c r="A29" s="748" t="s">
        <v>75</v>
      </c>
      <c r="B29" s="734"/>
      <c r="C29" s="734"/>
      <c r="D29" s="734"/>
      <c r="E29" s="734"/>
      <c r="F29" s="734"/>
      <c r="G29" s="749"/>
      <c r="H29" s="736" t="s">
        <v>79</v>
      </c>
      <c r="I29" s="737"/>
      <c r="J29" s="738"/>
      <c r="M29" s="711" t="s">
        <v>147</v>
      </c>
      <c r="N29" s="712"/>
      <c r="O29" s="712"/>
      <c r="P29" s="712"/>
      <c r="Q29" s="712"/>
      <c r="R29" s="719" t="s">
        <v>148</v>
      </c>
      <c r="S29" s="719"/>
      <c r="T29" s="719"/>
      <c r="U29" s="719"/>
      <c r="V29" s="720"/>
    </row>
    <row r="30" spans="1:22" ht="18" customHeight="1">
      <c r="A30" s="745" t="s">
        <v>76</v>
      </c>
      <c r="B30" s="746"/>
      <c r="C30" s="746"/>
      <c r="D30" s="746"/>
      <c r="E30" s="746"/>
      <c r="F30" s="746"/>
      <c r="G30" s="747"/>
      <c r="H30" s="739"/>
      <c r="I30" s="740"/>
      <c r="J30" s="741"/>
      <c r="M30" s="715" t="s">
        <v>149</v>
      </c>
      <c r="N30" s="716"/>
      <c r="O30" s="716"/>
      <c r="P30" s="716"/>
      <c r="Q30" s="716"/>
      <c r="R30" s="717" t="s">
        <v>150</v>
      </c>
      <c r="S30" s="717"/>
      <c r="T30" s="717"/>
      <c r="U30" s="717"/>
      <c r="V30" s="718"/>
    </row>
    <row r="31" spans="1:22" ht="18" customHeight="1">
      <c r="A31" s="748" t="s">
        <v>77</v>
      </c>
      <c r="B31" s="734"/>
      <c r="C31" s="734"/>
      <c r="D31" s="734"/>
      <c r="E31" s="734"/>
      <c r="F31" s="734"/>
      <c r="G31" s="749"/>
      <c r="H31" s="736" t="s">
        <v>80</v>
      </c>
      <c r="I31" s="737"/>
      <c r="J31" s="738"/>
      <c r="M31" s="711" t="s">
        <v>151</v>
      </c>
      <c r="N31" s="712"/>
      <c r="O31" s="712"/>
      <c r="P31" s="712"/>
      <c r="Q31" s="712"/>
      <c r="R31" s="725" t="s">
        <v>152</v>
      </c>
      <c r="S31" s="725"/>
      <c r="T31" s="725"/>
      <c r="U31" s="725"/>
      <c r="V31" s="726"/>
    </row>
    <row r="32" spans="1:22" ht="22.15" customHeight="1" thickBot="1">
      <c r="A32" s="730" t="s">
        <v>78</v>
      </c>
      <c r="B32" s="731"/>
      <c r="C32" s="731"/>
      <c r="D32" s="731"/>
      <c r="E32" s="731"/>
      <c r="F32" s="731"/>
      <c r="G32" s="732"/>
      <c r="H32" s="742" t="s">
        <v>81</v>
      </c>
      <c r="I32" s="743"/>
      <c r="J32" s="744"/>
      <c r="M32" s="715" t="s">
        <v>154</v>
      </c>
      <c r="N32" s="716"/>
      <c r="O32" s="716"/>
      <c r="P32" s="716"/>
      <c r="Q32" s="716"/>
      <c r="R32" s="727" t="s">
        <v>153</v>
      </c>
      <c r="S32" s="727"/>
      <c r="T32" s="727"/>
      <c r="U32" s="727"/>
      <c r="V32" s="728"/>
    </row>
    <row r="33" spans="13:22" ht="18" customHeight="1">
      <c r="M33" s="711" t="s">
        <v>155</v>
      </c>
      <c r="N33" s="712"/>
      <c r="O33" s="712"/>
      <c r="P33" s="712"/>
      <c r="Q33" s="712"/>
      <c r="R33" s="719" t="s">
        <v>153</v>
      </c>
      <c r="S33" s="719"/>
      <c r="T33" s="719"/>
      <c r="U33" s="719"/>
      <c r="V33" s="720"/>
    </row>
    <row r="34" spans="13:22" ht="18" customHeight="1">
      <c r="M34" s="715" t="s">
        <v>156</v>
      </c>
      <c r="N34" s="716"/>
      <c r="O34" s="716"/>
      <c r="P34" s="716"/>
      <c r="Q34" s="716"/>
      <c r="R34" s="717" t="s">
        <v>157</v>
      </c>
      <c r="S34" s="717"/>
      <c r="T34" s="717"/>
      <c r="U34" s="717"/>
      <c r="V34" s="718"/>
    </row>
    <row r="35" spans="13:22" ht="18" customHeight="1">
      <c r="M35" s="784" t="s">
        <v>158</v>
      </c>
      <c r="N35" s="712"/>
      <c r="O35" s="712"/>
      <c r="P35" s="712"/>
      <c r="Q35" s="712"/>
      <c r="R35" s="725" t="s">
        <v>159</v>
      </c>
      <c r="S35" s="725"/>
      <c r="T35" s="725"/>
      <c r="U35" s="725"/>
      <c r="V35" s="726"/>
    </row>
    <row r="36" spans="13:22" ht="18" customHeight="1">
      <c r="M36" s="715" t="s">
        <v>160</v>
      </c>
      <c r="N36" s="716"/>
      <c r="O36" s="716"/>
      <c r="P36" s="716"/>
      <c r="Q36" s="716"/>
      <c r="R36" s="716" t="s">
        <v>159</v>
      </c>
      <c r="S36" s="716"/>
      <c r="T36" s="716"/>
      <c r="U36" s="716"/>
      <c r="V36" s="785"/>
    </row>
    <row r="37" spans="13:22" ht="18" customHeight="1" thickBot="1">
      <c r="M37" s="778" t="s">
        <v>161</v>
      </c>
      <c r="N37" s="779"/>
      <c r="O37" s="779"/>
      <c r="P37" s="779"/>
      <c r="Q37" s="779"/>
      <c r="R37" s="782" t="s">
        <v>159</v>
      </c>
      <c r="S37" s="782"/>
      <c r="T37" s="782"/>
      <c r="U37" s="782"/>
      <c r="V37" s="783"/>
    </row>
  </sheetData>
  <sheetProtection password="CF3E" sheet="1" objects="1" scenarios="1"/>
  <mergeCells count="93">
    <mergeCell ref="A8:V8"/>
    <mergeCell ref="A23:J23"/>
    <mergeCell ref="M37:Q37"/>
    <mergeCell ref="R37:V37"/>
    <mergeCell ref="M35:Q35"/>
    <mergeCell ref="R35:V35"/>
    <mergeCell ref="M36:Q36"/>
    <mergeCell ref="R36:V36"/>
    <mergeCell ref="M33:Q33"/>
    <mergeCell ref="R33:V33"/>
    <mergeCell ref="M34:Q34"/>
    <mergeCell ref="R34:V34"/>
    <mergeCell ref="M31:Q31"/>
    <mergeCell ref="R31:V31"/>
    <mergeCell ref="M32:Q32"/>
    <mergeCell ref="R32:V32"/>
    <mergeCell ref="M29:Q29"/>
    <mergeCell ref="R29:V29"/>
    <mergeCell ref="M30:Q30"/>
    <mergeCell ref="R30:V30"/>
    <mergeCell ref="M27:Q27"/>
    <mergeCell ref="R27:V27"/>
    <mergeCell ref="M28:Q28"/>
    <mergeCell ref="R28:V28"/>
    <mergeCell ref="A1:V3"/>
    <mergeCell ref="A5:V6"/>
    <mergeCell ref="A18:E18"/>
    <mergeCell ref="M20:Q20"/>
    <mergeCell ref="R20:V20"/>
    <mergeCell ref="R18:V18"/>
    <mergeCell ref="M19:Q19"/>
    <mergeCell ref="R19:V19"/>
    <mergeCell ref="M16:Q16"/>
    <mergeCell ref="R16:V16"/>
    <mergeCell ref="M17:Q17"/>
    <mergeCell ref="R17:V17"/>
    <mergeCell ref="M14:Q14"/>
    <mergeCell ref="R14:V14"/>
    <mergeCell ref="M15:Q15"/>
    <mergeCell ref="R15:V15"/>
    <mergeCell ref="M25:Q25"/>
    <mergeCell ref="R25:V25"/>
    <mergeCell ref="M26:Q26"/>
    <mergeCell ref="R26:V26"/>
    <mergeCell ref="A4:V4"/>
    <mergeCell ref="A25:G25"/>
    <mergeCell ref="A26:G26"/>
    <mergeCell ref="F18:J18"/>
    <mergeCell ref="F19:J19"/>
    <mergeCell ref="F20:J20"/>
    <mergeCell ref="F21:J21"/>
    <mergeCell ref="M21:Q21"/>
    <mergeCell ref="R21:V21"/>
    <mergeCell ref="M18:Q18"/>
    <mergeCell ref="M12:Q12"/>
    <mergeCell ref="R12:V12"/>
    <mergeCell ref="A32:G32"/>
    <mergeCell ref="H27:J27"/>
    <mergeCell ref="H29:J29"/>
    <mergeCell ref="H30:J30"/>
    <mergeCell ref="H31:J31"/>
    <mergeCell ref="H32:J32"/>
    <mergeCell ref="H28:J28"/>
    <mergeCell ref="A30:G30"/>
    <mergeCell ref="A31:G31"/>
    <mergeCell ref="A28:G28"/>
    <mergeCell ref="A29:G29"/>
    <mergeCell ref="A27:G27"/>
    <mergeCell ref="M13:Q13"/>
    <mergeCell ref="R13:V13"/>
    <mergeCell ref="M10:Q10"/>
    <mergeCell ref="R10:V10"/>
    <mergeCell ref="M11:Q11"/>
    <mergeCell ref="R11:V11"/>
    <mergeCell ref="A19:E19"/>
    <mergeCell ref="A20:E20"/>
    <mergeCell ref="A21:E21"/>
    <mergeCell ref="A17:E17"/>
    <mergeCell ref="F15:J15"/>
    <mergeCell ref="F16:J16"/>
    <mergeCell ref="F17:J17"/>
    <mergeCell ref="A13:E13"/>
    <mergeCell ref="A14:E14"/>
    <mergeCell ref="A15:E15"/>
    <mergeCell ref="A16:E16"/>
    <mergeCell ref="F13:J13"/>
    <mergeCell ref="F14:J14"/>
    <mergeCell ref="A10:E10"/>
    <mergeCell ref="F10:J10"/>
    <mergeCell ref="A11:E11"/>
    <mergeCell ref="A12:E12"/>
    <mergeCell ref="F11:J11"/>
    <mergeCell ref="F12:J12"/>
  </mergeCells>
  <phoneticPr fontId="2" type="noConversion"/>
  <printOptions horizontalCentered="1"/>
  <pageMargins left="0.5" right="0.5" top="0.5" bottom="0.5" header="0.5" footer="0.5"/>
  <pageSetup paperSize="9" scale="85" orientation="landscape"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6"/>
  <sheetViews>
    <sheetView showGridLines="0" view="pageBreakPreview" workbookViewId="0">
      <selection activeCell="C11" sqref="C11"/>
    </sheetView>
  </sheetViews>
  <sheetFormatPr defaultColWidth="9.140625" defaultRowHeight="12.75"/>
  <cols>
    <col min="1" max="1" width="4.42578125" style="11" bestFit="1" customWidth="1"/>
    <col min="2" max="2" width="15" style="11" bestFit="1" customWidth="1"/>
    <col min="3" max="3" width="16.42578125" style="11" bestFit="1" customWidth="1"/>
    <col min="4" max="4" width="15.42578125" style="11" bestFit="1" customWidth="1"/>
    <col min="5" max="5" width="12.42578125" style="11" bestFit="1" customWidth="1"/>
    <col min="6" max="6" width="13" style="11" bestFit="1" customWidth="1"/>
    <col min="7" max="7" width="15.42578125" style="11" bestFit="1" customWidth="1"/>
    <col min="8" max="8" width="10.85546875" style="11" bestFit="1" customWidth="1"/>
    <col min="9" max="9" width="16.85546875" style="11" bestFit="1" customWidth="1"/>
    <col min="10" max="16384" width="9.140625" style="11"/>
  </cols>
  <sheetData>
    <row r="1" spans="1:9" ht="39.950000000000003" customHeight="1">
      <c r="A1" s="790" t="s">
        <v>218</v>
      </c>
      <c r="B1" s="790"/>
      <c r="C1" s="790"/>
      <c r="D1" s="790"/>
      <c r="E1" s="790"/>
      <c r="F1" s="790"/>
      <c r="G1" s="790"/>
      <c r="H1" s="790"/>
      <c r="I1" s="790"/>
    </row>
    <row r="2" spans="1:9" ht="23.25">
      <c r="A2" s="789" t="s">
        <v>217</v>
      </c>
      <c r="B2" s="789"/>
      <c r="C2" s="789"/>
      <c r="D2" s="789"/>
      <c r="E2" s="789"/>
      <c r="F2" s="789"/>
      <c r="G2" s="789"/>
      <c r="H2" s="789"/>
      <c r="I2" s="789"/>
    </row>
    <row r="3" spans="1:9" ht="13.5" thickBot="1"/>
    <row r="4" spans="1:9" ht="18.75">
      <c r="A4" s="787"/>
      <c r="B4" s="36" t="s">
        <v>215</v>
      </c>
      <c r="C4" s="36" t="s">
        <v>209</v>
      </c>
      <c r="D4" s="786" t="s">
        <v>209</v>
      </c>
      <c r="E4" s="786"/>
      <c r="F4" s="36" t="s">
        <v>210</v>
      </c>
      <c r="G4" s="36" t="s">
        <v>212</v>
      </c>
      <c r="H4" s="36" t="s">
        <v>213</v>
      </c>
      <c r="I4" s="37" t="s">
        <v>214</v>
      </c>
    </row>
    <row r="5" spans="1:9" ht="19.5" thickBot="1">
      <c r="A5" s="788"/>
      <c r="B5" s="38"/>
      <c r="C5" s="38" t="s">
        <v>185</v>
      </c>
      <c r="D5" s="38" t="s">
        <v>2</v>
      </c>
      <c r="E5" s="38" t="s">
        <v>186</v>
      </c>
      <c r="F5" s="38" t="s">
        <v>211</v>
      </c>
      <c r="G5" s="38" t="s">
        <v>211</v>
      </c>
      <c r="H5" s="38" t="s">
        <v>211</v>
      </c>
      <c r="I5" s="39" t="s">
        <v>2</v>
      </c>
    </row>
    <row r="6" spans="1:9" ht="18.75">
      <c r="A6" s="23">
        <v>1</v>
      </c>
      <c r="B6" s="24" t="s">
        <v>174</v>
      </c>
      <c r="C6" s="24" t="s">
        <v>163</v>
      </c>
      <c r="D6" s="24" t="s">
        <v>187</v>
      </c>
      <c r="E6" s="24" t="s">
        <v>198</v>
      </c>
      <c r="F6" s="24">
        <v>25</v>
      </c>
      <c r="G6" s="24">
        <v>304</v>
      </c>
      <c r="H6" s="24">
        <v>254</v>
      </c>
      <c r="I6" s="25">
        <v>14.8</v>
      </c>
    </row>
    <row r="7" spans="1:9" ht="18.75">
      <c r="A7" s="26">
        <v>2</v>
      </c>
      <c r="B7" s="27" t="s">
        <v>175</v>
      </c>
      <c r="C7" s="27" t="s">
        <v>164</v>
      </c>
      <c r="D7" s="27" t="s">
        <v>188</v>
      </c>
      <c r="E7" s="27" t="s">
        <v>199</v>
      </c>
      <c r="F7" s="27">
        <v>25</v>
      </c>
      <c r="G7" s="27">
        <v>502</v>
      </c>
      <c r="H7" s="27">
        <v>254</v>
      </c>
      <c r="I7" s="28">
        <v>18.399999999999999</v>
      </c>
    </row>
    <row r="8" spans="1:9" ht="18.75">
      <c r="A8" s="40">
        <v>3</v>
      </c>
      <c r="B8" s="32" t="s">
        <v>176</v>
      </c>
      <c r="C8" s="32" t="s">
        <v>165</v>
      </c>
      <c r="D8" s="32" t="s">
        <v>189</v>
      </c>
      <c r="E8" s="32" t="s">
        <v>200</v>
      </c>
      <c r="F8" s="32">
        <v>25</v>
      </c>
      <c r="G8" s="32">
        <v>833</v>
      </c>
      <c r="H8" s="32">
        <v>254</v>
      </c>
      <c r="I8" s="33">
        <v>26.1</v>
      </c>
    </row>
    <row r="9" spans="1:9" ht="18.75">
      <c r="A9" s="26">
        <v>4</v>
      </c>
      <c r="B9" s="27" t="s">
        <v>177</v>
      </c>
      <c r="C9" s="27" t="s">
        <v>166</v>
      </c>
      <c r="D9" s="27" t="s">
        <v>190</v>
      </c>
      <c r="E9" s="27" t="s">
        <v>201</v>
      </c>
      <c r="F9" s="27">
        <v>50</v>
      </c>
      <c r="G9" s="27">
        <v>1352</v>
      </c>
      <c r="H9" s="27">
        <v>227.2</v>
      </c>
      <c r="I9" s="28">
        <v>52.2</v>
      </c>
    </row>
    <row r="10" spans="1:9" ht="18.75">
      <c r="A10" s="40">
        <v>5</v>
      </c>
      <c r="B10" s="32" t="s">
        <v>178</v>
      </c>
      <c r="C10" s="32" t="s">
        <v>168</v>
      </c>
      <c r="D10" s="32" t="s">
        <v>191</v>
      </c>
      <c r="E10" s="32" t="s">
        <v>202</v>
      </c>
      <c r="F10" s="32">
        <v>50</v>
      </c>
      <c r="G10" s="32">
        <v>596</v>
      </c>
      <c r="H10" s="32">
        <v>406</v>
      </c>
      <c r="I10" s="33">
        <v>49.1</v>
      </c>
    </row>
    <row r="11" spans="1:9" ht="18.75">
      <c r="A11" s="26">
        <v>6</v>
      </c>
      <c r="B11" s="27" t="s">
        <v>179</v>
      </c>
      <c r="C11" s="27" t="s">
        <v>169</v>
      </c>
      <c r="D11" s="27" t="s">
        <v>192</v>
      </c>
      <c r="E11" s="27" t="s">
        <v>203</v>
      </c>
      <c r="F11" s="27">
        <v>50</v>
      </c>
      <c r="G11" s="27">
        <v>1526</v>
      </c>
      <c r="H11" s="27">
        <v>265</v>
      </c>
      <c r="I11" s="28">
        <v>81.599999999999994</v>
      </c>
    </row>
    <row r="12" spans="1:9" ht="18.75">
      <c r="A12" s="40">
        <v>7</v>
      </c>
      <c r="B12" s="32" t="s">
        <v>180</v>
      </c>
      <c r="C12" s="32" t="s">
        <v>167</v>
      </c>
      <c r="D12" s="32" t="s">
        <v>193</v>
      </c>
      <c r="E12" s="32" t="s">
        <v>204</v>
      </c>
      <c r="F12" s="32">
        <v>50</v>
      </c>
      <c r="G12" s="32">
        <v>1685</v>
      </c>
      <c r="H12" s="32">
        <v>276</v>
      </c>
      <c r="I12" s="33">
        <v>95.3</v>
      </c>
    </row>
    <row r="13" spans="1:9" ht="18.75">
      <c r="A13" s="26">
        <v>8</v>
      </c>
      <c r="B13" s="27" t="s">
        <v>181</v>
      </c>
      <c r="C13" s="27" t="s">
        <v>170</v>
      </c>
      <c r="D13" s="27" t="s">
        <v>194</v>
      </c>
      <c r="E13" s="27" t="s">
        <v>205</v>
      </c>
      <c r="F13" s="27">
        <v>50</v>
      </c>
      <c r="G13" s="27">
        <v>1021</v>
      </c>
      <c r="H13" s="27">
        <v>406</v>
      </c>
      <c r="I13" s="28">
        <v>71.8</v>
      </c>
    </row>
    <row r="14" spans="1:9" ht="18.75">
      <c r="A14" s="40">
        <v>9</v>
      </c>
      <c r="B14" s="32" t="s">
        <v>182</v>
      </c>
      <c r="C14" s="32" t="s">
        <v>171</v>
      </c>
      <c r="D14" s="32" t="s">
        <v>195</v>
      </c>
      <c r="E14" s="32" t="s">
        <v>206</v>
      </c>
      <c r="F14" s="32">
        <v>50</v>
      </c>
      <c r="G14" s="32">
        <v>1354</v>
      </c>
      <c r="H14" s="32">
        <v>406</v>
      </c>
      <c r="I14" s="33">
        <v>89.9</v>
      </c>
    </row>
    <row r="15" spans="1:9" ht="18.75">
      <c r="A15" s="26">
        <v>10</v>
      </c>
      <c r="B15" s="27" t="s">
        <v>183</v>
      </c>
      <c r="C15" s="27" t="s">
        <v>172</v>
      </c>
      <c r="D15" s="27" t="s">
        <v>196</v>
      </c>
      <c r="E15" s="27" t="s">
        <v>207</v>
      </c>
      <c r="F15" s="27">
        <v>50</v>
      </c>
      <c r="G15" s="27">
        <v>1634</v>
      </c>
      <c r="H15" s="27">
        <v>406</v>
      </c>
      <c r="I15" s="28">
        <v>105.8</v>
      </c>
    </row>
    <row r="16" spans="1:9" ht="19.5" thickBot="1">
      <c r="A16" s="29">
        <v>11</v>
      </c>
      <c r="B16" s="30" t="s">
        <v>184</v>
      </c>
      <c r="C16" s="30" t="s">
        <v>173</v>
      </c>
      <c r="D16" s="30" t="s">
        <v>197</v>
      </c>
      <c r="E16" s="30" t="s">
        <v>208</v>
      </c>
      <c r="F16" s="30">
        <v>89</v>
      </c>
      <c r="G16" s="30">
        <v>1466</v>
      </c>
      <c r="H16" s="30">
        <v>610</v>
      </c>
      <c r="I16" s="31">
        <v>207</v>
      </c>
    </row>
  </sheetData>
  <sheetProtection password="CF3E" sheet="1" objects="1" scenarios="1"/>
  <mergeCells count="4">
    <mergeCell ref="D4:E4"/>
    <mergeCell ref="A4:A5"/>
    <mergeCell ref="A2:I2"/>
    <mergeCell ref="A1:I1"/>
  </mergeCells>
  <phoneticPr fontId="2" type="noConversion"/>
  <printOptions horizontalCentered="1"/>
  <pageMargins left="0.39370078740157483" right="0.39370078740157483" top="0.39370078740157483" bottom="0.98425196850393704" header="0.51181102362204722" footer="0.51181102362204722"/>
  <pageSetup scale="90" orientation="landscape" horizontalDpi="1200" verticalDpi="1200" r:id="rId1"/>
  <headerFooter alignWithMargins="0">
    <oddFooter>&amp;L&amp;"Arial,Bold"&amp;7Tel  : +98 ( 21 ) 66 51  9367
         +98 ( 21 ) 66 51  9368
Fax : +98 ( 21 ) 66 51  7481&amp;R&amp;"Arial,Bold"&amp;7Created by A.CHERAGHI
( BSEE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42"/>
  <sheetViews>
    <sheetView showGridLines="0" view="pageBreakPreview" zoomScaleSheetLayoutView="100" workbookViewId="0">
      <pane ySplit="4" topLeftCell="A5" activePane="bottomLeft" state="frozen"/>
      <selection pane="bottomLeft" activeCell="D42" sqref="D42:G42"/>
    </sheetView>
  </sheetViews>
  <sheetFormatPr defaultColWidth="8.5703125" defaultRowHeight="12.95" customHeight="1"/>
  <cols>
    <col min="1" max="1" width="15.5703125" style="22" customWidth="1"/>
    <col min="2" max="3" width="9.5703125" style="22" customWidth="1"/>
    <col min="4" max="6" width="6.5703125" style="22" customWidth="1"/>
    <col min="7" max="7" width="11.85546875" style="22" bestFit="1" customWidth="1"/>
    <col min="8" max="8" width="14.85546875" style="22" bestFit="1" customWidth="1"/>
    <col min="9" max="9" width="15.5703125" style="22" customWidth="1"/>
    <col min="10" max="16384" width="8.5703125" style="22"/>
  </cols>
  <sheetData>
    <row r="1" spans="1:12" ht="39.950000000000003" customHeight="1">
      <c r="A1" s="790" t="s">
        <v>219</v>
      </c>
      <c r="B1" s="790"/>
      <c r="C1" s="790"/>
      <c r="D1" s="790"/>
      <c r="E1" s="790"/>
      <c r="F1" s="790"/>
      <c r="G1" s="790"/>
      <c r="H1" s="790"/>
      <c r="I1" s="790"/>
    </row>
    <row r="3" spans="1:12" ht="12.95" customHeight="1">
      <c r="A3" s="793" t="s">
        <v>220</v>
      </c>
      <c r="B3" s="793"/>
      <c r="C3" s="793"/>
      <c r="D3" s="793"/>
      <c r="E3" s="793"/>
      <c r="F3" s="793"/>
      <c r="G3" s="793"/>
      <c r="H3" s="793"/>
      <c r="I3" s="793"/>
      <c r="J3" s="34"/>
      <c r="K3" s="34"/>
      <c r="L3" s="34"/>
    </row>
    <row r="4" spans="1:12" ht="12.95" customHeight="1">
      <c r="A4" s="793"/>
      <c r="B4" s="793"/>
      <c r="C4" s="793"/>
      <c r="D4" s="793"/>
      <c r="E4" s="793"/>
      <c r="F4" s="793"/>
      <c r="G4" s="793"/>
      <c r="H4" s="793"/>
      <c r="I4" s="793"/>
      <c r="J4" s="34"/>
      <c r="K4" s="34"/>
      <c r="L4" s="34"/>
    </row>
    <row r="5" spans="1:12" ht="12.95" customHeight="1">
      <c r="A5" s="35"/>
      <c r="B5" s="35"/>
      <c r="C5" s="35"/>
      <c r="D5" s="35"/>
      <c r="E5" s="35"/>
      <c r="F5" s="35"/>
      <c r="G5" s="35"/>
      <c r="H5" s="35"/>
      <c r="I5" s="35"/>
      <c r="J5" s="34"/>
      <c r="K5" s="34"/>
      <c r="L5" s="34"/>
    </row>
    <row r="6" spans="1:12" ht="15" customHeight="1">
      <c r="A6" s="794" t="s">
        <v>221</v>
      </c>
      <c r="B6" s="794"/>
      <c r="C6" s="794"/>
      <c r="D6" s="794"/>
      <c r="E6" s="794"/>
      <c r="F6" s="794"/>
      <c r="G6" s="794"/>
      <c r="H6" s="794"/>
      <c r="I6" s="794"/>
      <c r="J6" s="34"/>
      <c r="K6" s="34"/>
      <c r="L6" s="34"/>
    </row>
    <row r="7" spans="1:12" ht="15" customHeight="1">
      <c r="A7" s="794"/>
      <c r="B7" s="794"/>
      <c r="C7" s="794"/>
      <c r="D7" s="794"/>
      <c r="E7" s="794"/>
      <c r="F7" s="794"/>
      <c r="G7" s="794"/>
      <c r="H7" s="794"/>
      <c r="I7" s="794"/>
      <c r="J7" s="34"/>
      <c r="K7" s="34"/>
      <c r="L7" s="34"/>
    </row>
    <row r="8" spans="1:12" ht="15" customHeight="1">
      <c r="A8" s="794"/>
      <c r="B8" s="794"/>
      <c r="C8" s="794"/>
      <c r="D8" s="794"/>
      <c r="E8" s="794"/>
      <c r="F8" s="794"/>
      <c r="G8" s="794"/>
      <c r="H8" s="794"/>
      <c r="I8" s="794"/>
      <c r="J8" s="34"/>
      <c r="K8" s="34"/>
      <c r="L8" s="34"/>
    </row>
    <row r="9" spans="1:12" ht="15" customHeight="1">
      <c r="A9" s="794"/>
      <c r="B9" s="794"/>
      <c r="C9" s="794"/>
      <c r="D9" s="794"/>
      <c r="E9" s="794"/>
      <c r="F9" s="794"/>
      <c r="G9" s="794"/>
      <c r="H9" s="794"/>
      <c r="I9" s="794"/>
      <c r="J9" s="34"/>
      <c r="K9" s="34"/>
      <c r="L9" s="34"/>
    </row>
    <row r="10" spans="1:12" ht="12.95" customHeight="1" thickBot="1">
      <c r="A10" s="35"/>
      <c r="B10" s="35"/>
      <c r="C10" s="35"/>
      <c r="D10" s="35"/>
      <c r="E10" s="35"/>
      <c r="F10" s="35"/>
      <c r="G10" s="35"/>
      <c r="H10" s="35"/>
      <c r="I10" s="35"/>
      <c r="J10" s="34"/>
      <c r="K10" s="34"/>
      <c r="L10" s="34"/>
    </row>
    <row r="11" spans="1:12" ht="20.100000000000001" customHeight="1" thickBot="1">
      <c r="A11" s="35"/>
      <c r="B11" s="799" t="s">
        <v>216</v>
      </c>
      <c r="C11" s="800"/>
      <c r="D11" s="800" t="s">
        <v>236</v>
      </c>
      <c r="E11" s="800"/>
      <c r="F11" s="800"/>
      <c r="G11" s="800"/>
      <c r="H11" s="801"/>
      <c r="I11" s="35"/>
      <c r="J11" s="34"/>
      <c r="K11" s="34"/>
      <c r="L11" s="34"/>
    </row>
    <row r="12" spans="1:12" ht="12.95" customHeight="1" thickBot="1"/>
    <row r="13" spans="1:12" ht="15" customHeight="1">
      <c r="B13" s="795" t="s">
        <v>215</v>
      </c>
      <c r="C13" s="796"/>
      <c r="D13" s="802" t="s">
        <v>216</v>
      </c>
      <c r="E13" s="803"/>
      <c r="F13" s="803"/>
      <c r="G13" s="803"/>
      <c r="H13" s="804"/>
    </row>
    <row r="14" spans="1:12" ht="15" customHeight="1" thickBot="1">
      <c r="B14" s="797"/>
      <c r="C14" s="798"/>
      <c r="D14" s="805"/>
      <c r="E14" s="806"/>
      <c r="F14" s="806"/>
      <c r="G14" s="806"/>
      <c r="H14" s="807"/>
    </row>
    <row r="15" spans="1:12" ht="20.100000000000001" customHeight="1">
      <c r="B15" s="822" t="s">
        <v>222</v>
      </c>
      <c r="C15" s="823"/>
      <c r="D15" s="813" t="s">
        <v>229</v>
      </c>
      <c r="E15" s="814"/>
      <c r="F15" s="814"/>
      <c r="G15" s="814"/>
      <c r="H15" s="815"/>
    </row>
    <row r="16" spans="1:12" ht="20.100000000000001" customHeight="1">
      <c r="B16" s="791" t="s">
        <v>223</v>
      </c>
      <c r="C16" s="792"/>
      <c r="D16" s="816" t="s">
        <v>230</v>
      </c>
      <c r="E16" s="817"/>
      <c r="F16" s="817"/>
      <c r="G16" s="817"/>
      <c r="H16" s="818"/>
    </row>
    <row r="17" spans="2:8" ht="20.100000000000001" customHeight="1">
      <c r="B17" s="824" t="s">
        <v>224</v>
      </c>
      <c r="C17" s="825"/>
      <c r="D17" s="819" t="s">
        <v>231</v>
      </c>
      <c r="E17" s="820"/>
      <c r="F17" s="820"/>
      <c r="G17" s="820"/>
      <c r="H17" s="821"/>
    </row>
    <row r="18" spans="2:8" ht="20.100000000000001" customHeight="1">
      <c r="B18" s="791" t="s">
        <v>225</v>
      </c>
      <c r="C18" s="792"/>
      <c r="D18" s="816" t="s">
        <v>232</v>
      </c>
      <c r="E18" s="817"/>
      <c r="F18" s="817"/>
      <c r="G18" s="817"/>
      <c r="H18" s="818"/>
    </row>
    <row r="19" spans="2:8" ht="20.100000000000001" customHeight="1">
      <c r="B19" s="824" t="s">
        <v>226</v>
      </c>
      <c r="C19" s="825"/>
      <c r="D19" s="819" t="s">
        <v>233</v>
      </c>
      <c r="E19" s="820"/>
      <c r="F19" s="820"/>
      <c r="G19" s="820"/>
      <c r="H19" s="821"/>
    </row>
    <row r="20" spans="2:8" ht="20.100000000000001" customHeight="1">
      <c r="B20" s="791" t="s">
        <v>227</v>
      </c>
      <c r="C20" s="792"/>
      <c r="D20" s="816" t="s">
        <v>234</v>
      </c>
      <c r="E20" s="817"/>
      <c r="F20" s="817"/>
      <c r="G20" s="817"/>
      <c r="H20" s="818"/>
    </row>
    <row r="21" spans="2:8" ht="20.100000000000001" customHeight="1" thickBot="1">
      <c r="B21" s="809" t="s">
        <v>228</v>
      </c>
      <c r="C21" s="810"/>
      <c r="D21" s="826" t="s">
        <v>235</v>
      </c>
      <c r="E21" s="827"/>
      <c r="F21" s="827"/>
      <c r="G21" s="827"/>
      <c r="H21" s="828"/>
    </row>
    <row r="22" spans="2:8" ht="12.95" customHeight="1">
      <c r="B22" s="811"/>
      <c r="C22" s="812"/>
    </row>
    <row r="42" spans="1:17" ht="20.100000000000001" customHeight="1">
      <c r="A42" s="7"/>
      <c r="B42" s="808" t="s">
        <v>140</v>
      </c>
      <c r="C42" s="808"/>
      <c r="D42" s="808" t="s">
        <v>238</v>
      </c>
      <c r="E42" s="808"/>
      <c r="F42" s="808"/>
      <c r="G42" s="808"/>
      <c r="H42" s="12" t="s">
        <v>237</v>
      </c>
      <c r="I42" s="12"/>
      <c r="J42" s="12"/>
      <c r="K42" s="7"/>
      <c r="P42" s="12"/>
      <c r="Q42" s="8"/>
    </row>
  </sheetData>
  <sheetProtection password="8F10" sheet="1" objects="1" scenarios="1"/>
  <mergeCells count="24">
    <mergeCell ref="B42:C42"/>
    <mergeCell ref="B21:C21"/>
    <mergeCell ref="B22:C22"/>
    <mergeCell ref="D15:H15"/>
    <mergeCell ref="D16:H16"/>
    <mergeCell ref="D17:H17"/>
    <mergeCell ref="D42:G42"/>
    <mergeCell ref="D18:H18"/>
    <mergeCell ref="D19:H19"/>
    <mergeCell ref="D20:H20"/>
    <mergeCell ref="B15:C15"/>
    <mergeCell ref="B16:C16"/>
    <mergeCell ref="B17:C17"/>
    <mergeCell ref="B18:C18"/>
    <mergeCell ref="D21:H21"/>
    <mergeCell ref="B19:C19"/>
    <mergeCell ref="B20:C20"/>
    <mergeCell ref="A3:I4"/>
    <mergeCell ref="A1:I1"/>
    <mergeCell ref="A6:I9"/>
    <mergeCell ref="B13:C14"/>
    <mergeCell ref="B11:C11"/>
    <mergeCell ref="D11:H11"/>
    <mergeCell ref="D13:H14"/>
  </mergeCells>
  <phoneticPr fontId="2" type="noConversion"/>
  <hyperlinks>
    <hyperlink ref="B42:C42" location="TOTAL!A1" display="go to TOTAL" xr:uid="{00000000-0004-0000-0E00-000000000000}"/>
    <hyperlink ref="D42:G42" location="'FM 200 Calculation'!A1" display="go to FM 200 Calculation" xr:uid="{00000000-0004-0000-0E00-000001000000}"/>
    <hyperlink ref="H42" location="NOZZLES!A1" display="go to NOZZEL" xr:uid="{00000000-0004-0000-0E00-000002000000}"/>
  </hyperlinks>
  <printOptions horizontalCentered="1"/>
  <pageMargins left="0.39370078740157483" right="0.39370078740157483" top="0.39370078740157483" bottom="0.98425196850393704" header="0.51181102362204722" footer="0.51181102362204722"/>
  <pageSetup orientation="portrait" horizontalDpi="1200" verticalDpi="1200" r:id="rId1"/>
  <headerFooter alignWithMargins="0">
    <oddFooter>&amp;L&amp;"Arial,Bold"&amp;7Tel  : +98 ( 21 ) 66 51  9367
         +98 ( 21 ) 66 51  9368
Fax : +98 ( 21 ) 66 51  7481&amp;R&amp;"Arial,Bold"&amp;7Created by A.CHERAGHI
( BSEE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12"/>
  </sheetPr>
  <dimension ref="B1:K8"/>
  <sheetViews>
    <sheetView showGridLines="0" topLeftCell="A7" workbookViewId="0">
      <selection activeCell="D8" sqref="D8"/>
    </sheetView>
  </sheetViews>
  <sheetFormatPr defaultColWidth="9.140625" defaultRowHeight="12.75"/>
  <cols>
    <col min="1" max="1" width="9.140625" style="10"/>
    <col min="2" max="3" width="8.5703125" style="10" customWidth="1"/>
    <col min="4" max="4" width="5.5703125" style="10" customWidth="1"/>
    <col min="5" max="5" width="9.140625" style="10"/>
    <col min="6" max="7" width="5.5703125" style="10" customWidth="1"/>
    <col min="8" max="9" width="8.5703125" style="10" customWidth="1"/>
    <col min="10" max="10" width="5.5703125" style="10" customWidth="1"/>
    <col min="11" max="16384" width="9.140625" style="10"/>
  </cols>
  <sheetData>
    <row r="1" spans="2:11" ht="60" customHeight="1">
      <c r="B1" s="829" t="s">
        <v>23</v>
      </c>
      <c r="C1" s="829"/>
      <c r="D1" s="829"/>
      <c r="E1" s="829"/>
      <c r="F1" s="829"/>
      <c r="G1" s="829"/>
      <c r="H1" s="829"/>
      <c r="I1" s="829"/>
      <c r="J1" s="829"/>
      <c r="K1" s="829"/>
    </row>
    <row r="3" spans="2:11" ht="15">
      <c r="B3" s="832" t="s">
        <v>36</v>
      </c>
      <c r="C3" s="832"/>
      <c r="D3" s="832"/>
      <c r="H3" s="832" t="s">
        <v>37</v>
      </c>
      <c r="I3" s="832"/>
      <c r="J3" s="832"/>
    </row>
    <row r="4" spans="2:11" ht="13.5" thickBot="1"/>
    <row r="5" spans="2:11" ht="20.100000000000001" customHeight="1" thickBot="1">
      <c r="B5" s="830" t="s">
        <v>31</v>
      </c>
      <c r="C5" s="831"/>
      <c r="D5" s="13" t="e">
        <v>#REF!</v>
      </c>
      <c r="E5" s="10" t="s">
        <v>32</v>
      </c>
      <c r="H5" s="830" t="s">
        <v>31</v>
      </c>
      <c r="I5" s="831"/>
      <c r="J5" s="13" t="e">
        <f>(total.d.s*30)/(2*D.C.D.S)</f>
        <v>#NAME?</v>
      </c>
      <c r="K5" s="10" t="s">
        <v>32</v>
      </c>
    </row>
    <row r="7" spans="2:11" ht="13.5" thickBot="1"/>
    <row r="8" spans="2:11" ht="20.100000000000001" customHeight="1" thickBot="1">
      <c r="B8" s="830" t="s">
        <v>30</v>
      </c>
      <c r="C8" s="831"/>
      <c r="D8" s="13" t="e">
        <f>D5/Nozzel</f>
        <v>#REF!</v>
      </c>
      <c r="E8" s="10" t="s">
        <v>32</v>
      </c>
      <c r="H8" s="830" t="s">
        <v>30</v>
      </c>
      <c r="I8" s="831"/>
      <c r="J8" s="13" t="e">
        <f>J5/Nozzel</f>
        <v>#NAME?</v>
      </c>
      <c r="K8" s="10" t="s">
        <v>32</v>
      </c>
    </row>
  </sheetData>
  <mergeCells count="7">
    <mergeCell ref="B1:K1"/>
    <mergeCell ref="B5:C5"/>
    <mergeCell ref="B8:C8"/>
    <mergeCell ref="H5:I5"/>
    <mergeCell ref="H8:I8"/>
    <mergeCell ref="B3:D3"/>
    <mergeCell ref="H3:J3"/>
  </mergeCells>
  <phoneticPr fontId="2" type="noConversion"/>
  <printOptions horizontalCentered="1"/>
  <pageMargins left="0.19685039370078741" right="0.19685039370078741" top="0.98425196850393704" bottom="0.98425196850393704" header="0.51181102362204722" footer="0.51181102362204722"/>
  <pageSetup orientation="portrait" horizontalDpi="300" verticalDpi="300" r:id="rId1"/>
  <headerFooter alignWithMargins="0">
    <oddFooter xml:space="preserve">&amp;L&amp;"Arial,Bold Italic"&amp;9Tel  : +98 ( 21 ) 66 51  9367
          +98 ( 21 ) 66 51  9368
Fax : +98 ( 21 ) 66 51  7481&amp;R&amp;"Arial,Bold Italic"&amp;9Design by Ali  Cheraghi
                 ( BSEE )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indexed="12"/>
  </sheetPr>
  <dimension ref="A1:Q34"/>
  <sheetViews>
    <sheetView showGridLines="0" topLeftCell="C1" workbookViewId="0">
      <selection activeCell="P15" sqref="P15:P17"/>
    </sheetView>
  </sheetViews>
  <sheetFormatPr defaultRowHeight="12.75"/>
  <cols>
    <col min="10" max="10" width="14.42578125" customWidth="1"/>
    <col min="11" max="13" width="7.5703125" customWidth="1"/>
    <col min="14" max="14" width="8.42578125" bestFit="1" customWidth="1"/>
    <col min="15" max="15" width="7.42578125" bestFit="1" customWidth="1"/>
    <col min="16" max="16" width="9" bestFit="1" customWidth="1"/>
  </cols>
  <sheetData>
    <row r="1" spans="1:17" ht="60" customHeight="1">
      <c r="A1" s="853" t="s">
        <v>24</v>
      </c>
      <c r="B1" s="853"/>
      <c r="C1" s="853"/>
      <c r="D1" s="853"/>
      <c r="E1" s="853"/>
      <c r="F1" s="853"/>
      <c r="G1" s="853"/>
      <c r="H1" s="853"/>
      <c r="I1" s="853"/>
      <c r="J1" s="853"/>
      <c r="K1" s="853"/>
      <c r="L1" s="853"/>
      <c r="M1" s="853"/>
      <c r="N1" s="853"/>
      <c r="O1" s="853"/>
      <c r="P1" s="5"/>
      <c r="Q1" s="5"/>
    </row>
    <row r="2" spans="1:17" ht="9.9499999999999993" customHeight="1">
      <c r="A2" s="14"/>
      <c r="B2" s="14"/>
      <c r="C2" s="14"/>
      <c r="D2" s="14"/>
      <c r="E2" s="14"/>
      <c r="F2" s="14"/>
      <c r="G2" s="14"/>
      <c r="H2" s="14"/>
      <c r="I2" s="14"/>
      <c r="J2" s="14"/>
      <c r="K2" s="854" t="e">
        <v>#REF!</v>
      </c>
      <c r="L2" s="854"/>
      <c r="M2" s="854"/>
      <c r="N2" s="854"/>
      <c r="O2" s="854"/>
      <c r="P2" s="854"/>
      <c r="Q2" s="5"/>
    </row>
    <row r="3" spans="1:17" ht="9.9499999999999993" customHeight="1">
      <c r="A3" s="14"/>
      <c r="B3" s="14"/>
      <c r="C3" s="14"/>
      <c r="D3" s="14"/>
      <c r="E3" s="14"/>
      <c r="F3" s="14"/>
      <c r="G3" s="14"/>
      <c r="H3" s="14"/>
      <c r="I3" s="14"/>
      <c r="J3" s="14"/>
      <c r="K3" s="854"/>
      <c r="L3" s="854"/>
      <c r="M3" s="854"/>
      <c r="N3" s="854"/>
      <c r="O3" s="854"/>
      <c r="P3" s="854"/>
      <c r="Q3" s="5"/>
    </row>
    <row r="4" spans="1:17" ht="9.9499999999999993" customHeight="1" thickBot="1">
      <c r="A4" s="14"/>
      <c r="B4" s="14"/>
      <c r="C4" s="14"/>
      <c r="D4" s="14"/>
      <c r="E4" s="14"/>
      <c r="F4" s="14"/>
      <c r="G4" s="14"/>
      <c r="H4" s="14"/>
      <c r="I4" s="14"/>
      <c r="J4" s="14"/>
      <c r="K4" s="14"/>
      <c r="L4" s="14"/>
      <c r="M4" s="14"/>
      <c r="N4" s="14"/>
      <c r="O4" s="14"/>
      <c r="P4" s="5"/>
      <c r="Q4" s="5"/>
    </row>
    <row r="5" spans="1:17">
      <c r="A5" s="5"/>
      <c r="B5" s="5"/>
      <c r="C5" s="5"/>
      <c r="D5" s="5"/>
      <c r="E5" s="5"/>
      <c r="F5" s="5"/>
      <c r="G5" s="5"/>
      <c r="H5" s="5"/>
      <c r="I5" s="5"/>
      <c r="J5" s="5"/>
      <c r="K5" s="855" t="s">
        <v>33</v>
      </c>
      <c r="L5" s="856"/>
      <c r="M5" s="857"/>
      <c r="N5" s="861" t="e">
        <v>#REF!</v>
      </c>
      <c r="O5" s="863" t="s">
        <v>14</v>
      </c>
      <c r="P5" s="5"/>
      <c r="Q5" s="5"/>
    </row>
    <row r="6" spans="1:17" ht="13.5" thickBot="1">
      <c r="A6" s="5"/>
      <c r="B6" s="5"/>
      <c r="C6" s="5"/>
      <c r="D6" s="5"/>
      <c r="E6" s="5"/>
      <c r="F6" s="5"/>
      <c r="G6" s="5"/>
      <c r="H6" s="5"/>
      <c r="I6" s="5"/>
      <c r="J6" s="5"/>
      <c r="K6" s="858"/>
      <c r="L6" s="859"/>
      <c r="M6" s="860"/>
      <c r="N6" s="862"/>
      <c r="O6" s="863"/>
      <c r="P6" s="5"/>
      <c r="Q6" s="5"/>
    </row>
    <row r="7" spans="1:17">
      <c r="A7" s="5"/>
      <c r="B7" s="5"/>
      <c r="C7" s="5"/>
      <c r="D7" s="5"/>
      <c r="E7" s="5"/>
      <c r="F7" s="5"/>
      <c r="G7" s="5"/>
      <c r="H7" s="5"/>
      <c r="I7" s="5"/>
      <c r="J7" s="5"/>
      <c r="K7" s="5"/>
      <c r="L7" s="5"/>
      <c r="M7" s="5"/>
      <c r="N7" s="5"/>
      <c r="O7" s="5"/>
      <c r="P7" s="5"/>
      <c r="Q7" s="5"/>
    </row>
    <row r="8" spans="1:17" ht="13.5" thickBot="1">
      <c r="A8" s="5"/>
      <c r="B8" s="5"/>
      <c r="C8" s="5"/>
      <c r="D8" s="5"/>
      <c r="E8" s="5"/>
      <c r="F8" s="5"/>
      <c r="G8" s="5"/>
      <c r="H8" s="5"/>
      <c r="I8" s="5"/>
      <c r="J8" s="5"/>
      <c r="K8" s="4"/>
      <c r="L8" s="4"/>
      <c r="M8" s="4"/>
      <c r="N8" s="15" t="s">
        <v>11</v>
      </c>
      <c r="O8" s="4"/>
      <c r="P8" s="15" t="s">
        <v>19</v>
      </c>
      <c r="Q8" s="5"/>
    </row>
    <row r="9" spans="1:17" ht="12.75" customHeight="1">
      <c r="A9" s="5"/>
      <c r="B9" s="5"/>
      <c r="C9" s="5"/>
      <c r="D9" s="5"/>
      <c r="E9" s="5"/>
      <c r="F9" s="5"/>
      <c r="G9" s="5"/>
      <c r="H9" s="5"/>
      <c r="I9" s="5"/>
      <c r="J9" s="5"/>
      <c r="K9" s="833" t="s">
        <v>21</v>
      </c>
      <c r="L9" s="834"/>
      <c r="M9" s="834"/>
      <c r="N9" s="848" t="e">
        <v>#REF!</v>
      </c>
      <c r="O9" s="842" t="s">
        <v>20</v>
      </c>
      <c r="P9" s="845" t="e">
        <f>N9/0.305</f>
        <v>#REF!</v>
      </c>
      <c r="Q9" s="496"/>
    </row>
    <row r="10" spans="1:17">
      <c r="A10" s="5"/>
      <c r="B10" s="5"/>
      <c r="C10" s="5"/>
      <c r="D10" s="5"/>
      <c r="E10" s="5"/>
      <c r="F10" s="5"/>
      <c r="G10" s="5"/>
      <c r="H10" s="5"/>
      <c r="I10" s="5"/>
      <c r="J10" s="5"/>
      <c r="K10" s="835"/>
      <c r="L10" s="836"/>
      <c r="M10" s="836"/>
      <c r="N10" s="849"/>
      <c r="O10" s="843"/>
      <c r="P10" s="846"/>
      <c r="Q10" s="496"/>
    </row>
    <row r="11" spans="1:17" ht="13.5" thickBot="1">
      <c r="A11" s="5"/>
      <c r="B11" s="5"/>
      <c r="C11" s="5"/>
      <c r="D11" s="5"/>
      <c r="E11" s="5"/>
      <c r="F11" s="5"/>
      <c r="G11" s="5"/>
      <c r="H11" s="5"/>
      <c r="I11" s="5"/>
      <c r="J11" s="5"/>
      <c r="K11" s="837"/>
      <c r="L11" s="838"/>
      <c r="M11" s="838"/>
      <c r="N11" s="850"/>
      <c r="O11" s="844"/>
      <c r="P11" s="847"/>
      <c r="Q11" s="496"/>
    </row>
    <row r="12" spans="1:17">
      <c r="A12" s="5"/>
      <c r="B12" s="5"/>
      <c r="C12" s="5"/>
      <c r="D12" s="5"/>
      <c r="E12" s="5"/>
      <c r="F12" s="5"/>
      <c r="G12" s="5"/>
      <c r="H12" s="5"/>
      <c r="I12" s="5"/>
      <c r="J12" s="5"/>
      <c r="K12" s="5"/>
      <c r="L12" s="16"/>
      <c r="M12" s="16"/>
      <c r="N12" s="5"/>
      <c r="O12" s="5"/>
      <c r="P12" s="5"/>
      <c r="Q12" s="5"/>
    </row>
    <row r="13" spans="1:17">
      <c r="A13" s="5"/>
      <c r="B13" s="5"/>
      <c r="C13" s="5"/>
      <c r="D13" s="5"/>
      <c r="E13" s="5"/>
      <c r="F13" s="5"/>
      <c r="G13" s="5"/>
      <c r="H13" s="5"/>
      <c r="I13" s="5"/>
      <c r="J13" s="5"/>
      <c r="K13" s="5"/>
      <c r="L13" s="5"/>
      <c r="M13" s="5"/>
      <c r="N13" s="5"/>
      <c r="O13" s="5"/>
      <c r="P13" s="5"/>
      <c r="Q13" s="5"/>
    </row>
    <row r="14" spans="1:17" ht="21.75" thickBot="1">
      <c r="A14" s="5"/>
      <c r="B14" s="5"/>
      <c r="C14" s="5"/>
      <c r="D14" s="5"/>
      <c r="E14" s="5"/>
      <c r="F14" s="5"/>
      <c r="G14" s="5"/>
      <c r="H14" s="5"/>
      <c r="I14" s="5"/>
      <c r="J14" s="5"/>
      <c r="K14" s="4"/>
      <c r="L14" s="4"/>
      <c r="M14" s="4"/>
      <c r="N14" s="9" t="s">
        <v>26</v>
      </c>
      <c r="O14" s="4"/>
      <c r="P14" s="9" t="s">
        <v>25</v>
      </c>
      <c r="Q14" s="5"/>
    </row>
    <row r="15" spans="1:17">
      <c r="K15" s="833" t="s">
        <v>22</v>
      </c>
      <c r="L15" s="834"/>
      <c r="M15" s="834"/>
      <c r="N15" s="839">
        <v>0</v>
      </c>
      <c r="O15" s="842" t="s">
        <v>20</v>
      </c>
      <c r="P15" s="845">
        <f>N15*4.89</f>
        <v>0</v>
      </c>
      <c r="Q15" s="5"/>
    </row>
    <row r="16" spans="1:17">
      <c r="K16" s="835"/>
      <c r="L16" s="836"/>
      <c r="M16" s="836"/>
      <c r="N16" s="840"/>
      <c r="O16" s="843"/>
      <c r="P16" s="846"/>
      <c r="Q16" s="5"/>
    </row>
    <row r="17" spans="11:17" ht="13.5" thickBot="1">
      <c r="K17" s="837"/>
      <c r="L17" s="838"/>
      <c r="M17" s="838"/>
      <c r="N17" s="841"/>
      <c r="O17" s="844"/>
      <c r="P17" s="847"/>
      <c r="Q17" s="5"/>
    </row>
    <row r="18" spans="11:17">
      <c r="K18" s="5"/>
      <c r="L18" s="5"/>
      <c r="M18" s="5"/>
      <c r="O18" s="5"/>
      <c r="P18" s="5"/>
      <c r="Q18" s="5"/>
    </row>
    <row r="19" spans="11:17">
      <c r="K19" s="5"/>
      <c r="L19" s="5"/>
      <c r="M19" s="5"/>
      <c r="N19" s="5"/>
      <c r="O19" s="5"/>
      <c r="P19" s="5"/>
      <c r="Q19" s="5"/>
    </row>
    <row r="20" spans="11:17">
      <c r="K20" s="496"/>
      <c r="L20" s="496"/>
      <c r="M20" s="496"/>
      <c r="N20" s="496"/>
      <c r="O20" s="496"/>
      <c r="P20" s="496"/>
      <c r="Q20" s="5"/>
    </row>
    <row r="21" spans="11:17">
      <c r="K21" s="5"/>
      <c r="L21" s="5"/>
      <c r="M21" s="5"/>
      <c r="N21" s="5"/>
      <c r="O21" s="5"/>
      <c r="P21" s="5"/>
      <c r="Q21" s="5"/>
    </row>
    <row r="22" spans="11:17" ht="18" customHeight="1">
      <c r="K22" s="851" t="s">
        <v>34</v>
      </c>
      <c r="L22" s="851"/>
      <c r="M22" s="851"/>
      <c r="N22" s="851"/>
      <c r="O22" s="5"/>
      <c r="P22" s="5"/>
      <c r="Q22" s="5"/>
    </row>
    <row r="23" spans="11:17">
      <c r="K23" s="852"/>
      <c r="L23" s="852"/>
      <c r="M23" s="852"/>
      <c r="N23" s="852"/>
      <c r="O23" s="5"/>
      <c r="P23" s="5"/>
      <c r="Q23" s="5"/>
    </row>
    <row r="24" spans="11:17" ht="15">
      <c r="K24" s="851" t="s">
        <v>35</v>
      </c>
      <c r="L24" s="851"/>
      <c r="M24" s="851"/>
      <c r="N24" s="851"/>
      <c r="O24" s="5"/>
      <c r="P24" s="5"/>
      <c r="Q24" s="5"/>
    </row>
    <row r="25" spans="11:17">
      <c r="K25" s="5"/>
      <c r="L25" s="5"/>
      <c r="M25" s="5"/>
      <c r="N25" s="5"/>
      <c r="O25" s="5"/>
      <c r="P25" s="5"/>
      <c r="Q25" s="5"/>
    </row>
    <row r="26" spans="11:17">
      <c r="K26" s="5"/>
      <c r="L26" s="5"/>
      <c r="M26" s="5"/>
      <c r="N26" s="5"/>
      <c r="O26" s="5"/>
      <c r="P26" s="5"/>
      <c r="Q26" s="5"/>
    </row>
    <row r="27" spans="11:17">
      <c r="K27" s="17"/>
      <c r="L27" s="17"/>
      <c r="M27" s="17"/>
      <c r="N27" s="17"/>
      <c r="O27" s="17"/>
      <c r="P27" s="17"/>
      <c r="Q27" s="5"/>
    </row>
    <row r="28" spans="11:17">
      <c r="K28" s="5"/>
      <c r="L28" s="5"/>
      <c r="M28" s="5"/>
      <c r="N28" s="5"/>
      <c r="O28" s="5"/>
      <c r="P28" s="5"/>
      <c r="Q28" s="5"/>
    </row>
    <row r="29" spans="11:17">
      <c r="K29" s="5"/>
      <c r="L29" s="5"/>
      <c r="M29" s="5"/>
      <c r="N29" s="5"/>
      <c r="O29" s="5"/>
      <c r="P29" s="5"/>
      <c r="Q29" s="5"/>
    </row>
    <row r="30" spans="11:17">
      <c r="K30" s="5"/>
      <c r="L30" s="5"/>
      <c r="M30" s="5"/>
      <c r="N30" s="5"/>
      <c r="O30" s="5"/>
      <c r="P30" s="5"/>
      <c r="Q30" s="5"/>
    </row>
    <row r="31" spans="11:17">
      <c r="K31" s="5"/>
      <c r="L31" s="5"/>
      <c r="M31" s="5"/>
      <c r="N31" s="5"/>
      <c r="O31" s="5"/>
      <c r="P31" s="5"/>
      <c r="Q31" s="5"/>
    </row>
    <row r="32" spans="11:17">
      <c r="K32" s="5"/>
      <c r="L32" s="5"/>
      <c r="M32" s="5"/>
      <c r="N32" s="5"/>
      <c r="O32" s="5"/>
      <c r="P32" s="5"/>
      <c r="Q32" s="5"/>
    </row>
    <row r="33" spans="11:17">
      <c r="K33" s="5"/>
      <c r="L33" s="5"/>
      <c r="M33" s="5"/>
      <c r="N33" s="5"/>
      <c r="O33" s="5"/>
      <c r="P33" s="5"/>
      <c r="Q33" s="5"/>
    </row>
    <row r="34" spans="11:17">
      <c r="K34" s="5"/>
      <c r="L34" s="5"/>
      <c r="M34" s="5"/>
      <c r="N34" s="5"/>
      <c r="O34" s="5"/>
      <c r="P34" s="5"/>
      <c r="Q34" s="5"/>
    </row>
  </sheetData>
  <mergeCells count="18">
    <mergeCell ref="K22:N22"/>
    <mergeCell ref="K23:N23"/>
    <mergeCell ref="K24:N24"/>
    <mergeCell ref="A1:O1"/>
    <mergeCell ref="K2:P3"/>
    <mergeCell ref="K5:M6"/>
    <mergeCell ref="N5:N6"/>
    <mergeCell ref="O5:O6"/>
    <mergeCell ref="K20:P20"/>
    <mergeCell ref="Q9:Q11"/>
    <mergeCell ref="K15:M17"/>
    <mergeCell ref="N15:N17"/>
    <mergeCell ref="O15:O17"/>
    <mergeCell ref="P15:P17"/>
    <mergeCell ref="O9:O11"/>
    <mergeCell ref="P9:P11"/>
    <mergeCell ref="K9:M11"/>
    <mergeCell ref="N9:N11"/>
  </mergeCells>
  <phoneticPr fontId="2" type="noConversion"/>
  <conditionalFormatting sqref="K22:N22">
    <cfRule type="expression" dxfId="1" priority="1" stopIfTrue="1">
      <formula>F.D=1</formula>
    </cfRule>
  </conditionalFormatting>
  <conditionalFormatting sqref="K24:N24">
    <cfRule type="expression" dxfId="0" priority="2" stopIfTrue="1">
      <formula>F.D=2</formula>
    </cfRule>
  </conditionalFormatting>
  <hyperlinks>
    <hyperlink ref="K22:N22" location="'Surface Fire'!A1" display="Go to Surface Fire" xr:uid="{00000000-0004-0000-1000-000000000000}"/>
    <hyperlink ref="K24:N24" location="'Deep Seated'!A1" display="Go to Deep seated Fire" xr:uid="{00000000-0004-0000-1000-000001000000}"/>
  </hyperlinks>
  <printOptions horizontalCentered="1"/>
  <pageMargins left="0.19685039370078741" right="0.19685039370078741" top="0.27559055118110237" bottom="0.78740157480314965" header="0.51181102362204722" footer="0.51181102362204722"/>
  <pageSetup paperSize="9" scale="95" orientation="landscape" horizontalDpi="300" verticalDpi="300" r:id="rId1"/>
  <headerFooter alignWithMargins="0">
    <oddFooter xml:space="preserve">&amp;L&amp;"Arial,Bold Italic"&amp;9Tel  : +98 ( 21 ) 66 51  9367
         +98 ( 21 ) 66 51  9368
Fax : +98 ( 21 ) 66 51  7481&amp;C&amp;"Arial,Bold Italic"&amp;9- 6 -&amp;R&amp;"Arial,Bold Italic"&amp;9Design by Ali  Cheraghi
                 ( BSEE )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80"/>
    <pageSetUpPr fitToPage="1"/>
  </sheetPr>
  <dimension ref="A1:N52"/>
  <sheetViews>
    <sheetView showGridLines="0" view="pageBreakPreview" zoomScaleSheetLayoutView="100" workbookViewId="0">
      <pane ySplit="5" topLeftCell="A21" activePane="bottomLeft" state="frozen"/>
      <selection pane="bottomLeft" activeCell="O28" sqref="O28"/>
    </sheetView>
  </sheetViews>
  <sheetFormatPr defaultColWidth="9.140625" defaultRowHeight="12.75"/>
  <cols>
    <col min="1" max="2" width="9.28515625" style="42" customWidth="1"/>
    <col min="3" max="4" width="7.7109375" style="42" customWidth="1"/>
    <col min="5" max="5" width="8.42578125" style="42" customWidth="1"/>
    <col min="6" max="7" width="8.7109375" style="42" customWidth="1"/>
    <col min="8" max="9" width="9.140625" style="42"/>
    <col min="10" max="11" width="10.7109375" style="42" customWidth="1"/>
    <col min="12" max="16384" width="9.140625" style="42"/>
  </cols>
  <sheetData>
    <row r="1" spans="1:14" s="145" customFormat="1" ht="9.9499999999999993" customHeight="1">
      <c r="A1" s="143"/>
      <c r="B1" s="143"/>
      <c r="C1" s="143"/>
      <c r="D1" s="143"/>
      <c r="E1" s="143"/>
      <c r="F1" s="143"/>
      <c r="G1" s="143"/>
      <c r="H1" s="143"/>
      <c r="I1" s="143"/>
      <c r="J1" s="189" t="s">
        <v>435</v>
      </c>
      <c r="K1" s="189" t="s">
        <v>544</v>
      </c>
      <c r="L1" s="144"/>
    </row>
    <row r="2" spans="1:14" s="145" customFormat="1" ht="9.9499999999999993" customHeight="1">
      <c r="A2" s="143"/>
      <c r="B2" s="143"/>
      <c r="C2" s="143"/>
      <c r="D2" s="143"/>
      <c r="E2" s="143"/>
      <c r="F2" s="143"/>
      <c r="G2" s="143"/>
      <c r="H2" s="143"/>
      <c r="I2" s="143"/>
      <c r="J2" s="189" t="s">
        <v>436</v>
      </c>
      <c r="K2" s="189">
        <v>38.299999999999997</v>
      </c>
      <c r="L2" s="144"/>
    </row>
    <row r="3" spans="1:14" s="145" customFormat="1" ht="9.9499999999999993" customHeight="1">
      <c r="A3" s="143"/>
      <c r="B3" s="143"/>
      <c r="C3" s="143"/>
      <c r="D3" s="143"/>
      <c r="E3" s="143"/>
      <c r="F3" s="143"/>
      <c r="G3" s="143"/>
      <c r="H3" s="143"/>
      <c r="I3" s="143"/>
      <c r="J3" s="331" t="s">
        <v>437</v>
      </c>
      <c r="K3" s="331"/>
      <c r="L3" s="144"/>
    </row>
    <row r="4" spans="1:14" ht="20.100000000000001" customHeight="1">
      <c r="A4" s="343" t="s">
        <v>299</v>
      </c>
      <c r="B4" s="343"/>
      <c r="C4" s="343"/>
      <c r="D4" s="343"/>
      <c r="E4" s="343"/>
      <c r="F4" s="343"/>
      <c r="G4" s="343"/>
      <c r="H4" s="343"/>
      <c r="I4" s="343"/>
      <c r="J4" s="343"/>
      <c r="K4" s="343"/>
      <c r="L4" s="43"/>
      <c r="M4" s="44"/>
    </row>
    <row r="5" spans="1:14" ht="20.100000000000001" customHeight="1">
      <c r="A5" s="344" t="s">
        <v>277</v>
      </c>
      <c r="B5" s="344"/>
      <c r="C5" s="344"/>
      <c r="D5" s="344"/>
      <c r="E5" s="344"/>
      <c r="F5" s="344"/>
      <c r="G5" s="344"/>
      <c r="H5" s="344"/>
      <c r="I5" s="344"/>
      <c r="J5" s="344"/>
      <c r="K5" s="344"/>
      <c r="L5" s="45"/>
      <c r="M5" s="45"/>
    </row>
    <row r="6" spans="1:14" ht="20.100000000000001" customHeight="1">
      <c r="A6" s="344" t="s">
        <v>407</v>
      </c>
      <c r="B6" s="344"/>
      <c r="C6" s="344"/>
      <c r="D6" s="344"/>
      <c r="E6" s="344"/>
      <c r="F6" s="344"/>
      <c r="G6" s="344"/>
      <c r="H6" s="344"/>
      <c r="I6" s="344"/>
      <c r="J6" s="344"/>
      <c r="K6" s="344"/>
      <c r="L6" s="45"/>
      <c r="M6" s="45"/>
    </row>
    <row r="7" spans="1:14" ht="20.100000000000001" customHeight="1">
      <c r="A7" s="187"/>
      <c r="B7" s="187"/>
      <c r="C7" s="187"/>
      <c r="D7" s="187"/>
      <c r="E7" s="187"/>
      <c r="F7" s="187"/>
      <c r="G7" s="187"/>
      <c r="H7" s="187"/>
      <c r="I7" s="187"/>
      <c r="J7" s="187"/>
      <c r="K7" s="187"/>
      <c r="L7" s="45"/>
      <c r="M7" s="45"/>
    </row>
    <row r="8" spans="1:14" ht="20.100000000000001" customHeight="1">
      <c r="A8" s="165"/>
      <c r="B8" s="46"/>
      <c r="C8" s="46"/>
      <c r="D8" s="46"/>
      <c r="E8" s="46"/>
      <c r="F8" s="46"/>
      <c r="G8" s="46"/>
      <c r="H8" s="46"/>
      <c r="I8" s="46"/>
      <c r="J8" s="46"/>
      <c r="K8" s="46"/>
      <c r="L8" s="46"/>
      <c r="M8" s="44"/>
    </row>
    <row r="9" spans="1:14" ht="20.100000000000001" customHeight="1">
      <c r="A9" s="341" t="s">
        <v>286</v>
      </c>
      <c r="B9" s="341"/>
      <c r="C9" s="345" t="s">
        <v>527</v>
      </c>
      <c r="D9" s="345"/>
      <c r="E9" s="345"/>
      <c r="F9" s="346"/>
      <c r="G9" s="47"/>
      <c r="I9" s="223" t="s">
        <v>287</v>
      </c>
      <c r="J9" s="342" t="s">
        <v>294</v>
      </c>
      <c r="K9" s="342"/>
      <c r="L9" s="46"/>
      <c r="M9" s="44"/>
    </row>
    <row r="10" spans="1:14" ht="20.100000000000001" customHeight="1">
      <c r="A10" s="48"/>
      <c r="B10" s="48"/>
      <c r="C10" s="362"/>
      <c r="D10" s="345"/>
      <c r="E10" s="345"/>
      <c r="F10" s="346"/>
      <c r="G10" s="47"/>
      <c r="H10" s="48"/>
      <c r="L10" s="46"/>
      <c r="M10" s="44"/>
    </row>
    <row r="11" spans="1:14" ht="15.75">
      <c r="A11" s="47"/>
      <c r="B11" s="47"/>
      <c r="C11" s="47"/>
      <c r="D11" s="47"/>
      <c r="E11" s="47"/>
      <c r="F11" s="47"/>
      <c r="G11" s="47"/>
      <c r="H11" s="47"/>
      <c r="I11" s="47"/>
      <c r="J11" s="47"/>
      <c r="K11" s="47"/>
      <c r="L11" s="46"/>
      <c r="M11" s="44"/>
    </row>
    <row r="12" spans="1:14" ht="20.100000000000001" customHeight="1">
      <c r="A12" s="347" t="s">
        <v>285</v>
      </c>
      <c r="B12" s="348"/>
      <c r="C12" s="349" t="s">
        <v>278</v>
      </c>
      <c r="D12" s="350"/>
      <c r="E12" s="350"/>
      <c r="F12" s="351"/>
      <c r="G12" s="47"/>
      <c r="H12" s="47"/>
      <c r="I12" s="47"/>
      <c r="J12" s="47"/>
      <c r="K12" s="47"/>
      <c r="L12" s="47"/>
      <c r="M12" s="46"/>
      <c r="N12" s="44"/>
    </row>
    <row r="13" spans="1:14" ht="20.100000000000001" customHeight="1">
      <c r="A13" s="47"/>
      <c r="B13" s="47"/>
      <c r="C13" s="349"/>
      <c r="D13" s="350"/>
      <c r="E13" s="350"/>
      <c r="F13" s="351"/>
      <c r="G13" s="47"/>
      <c r="H13" s="47"/>
      <c r="I13" s="47"/>
      <c r="J13" s="47"/>
      <c r="K13" s="47"/>
      <c r="L13" s="47"/>
      <c r="M13" s="46"/>
      <c r="N13" s="44"/>
    </row>
    <row r="14" spans="1:14" ht="15.75">
      <c r="A14" s="47"/>
      <c r="B14" s="47"/>
      <c r="C14" s="47"/>
      <c r="D14" s="47"/>
      <c r="E14" s="47"/>
      <c r="F14" s="47"/>
      <c r="G14" s="47"/>
      <c r="H14" s="47"/>
      <c r="I14" s="47"/>
      <c r="J14" s="47"/>
      <c r="K14" s="47"/>
      <c r="L14" s="47"/>
      <c r="M14" s="46"/>
      <c r="N14" s="44"/>
    </row>
    <row r="15" spans="1:14" ht="15.75">
      <c r="A15" s="347" t="s">
        <v>279</v>
      </c>
      <c r="B15" s="348"/>
      <c r="C15" s="352"/>
      <c r="D15" s="353"/>
      <c r="E15" s="353"/>
      <c r="F15" s="354"/>
      <c r="G15" s="47"/>
      <c r="I15" s="311" t="s">
        <v>283</v>
      </c>
      <c r="J15" s="349" t="s">
        <v>244</v>
      </c>
      <c r="K15" s="351"/>
      <c r="M15" s="46"/>
      <c r="N15" s="44"/>
    </row>
    <row r="16" spans="1:14" ht="15.75">
      <c r="A16" s="347" t="s">
        <v>280</v>
      </c>
      <c r="B16" s="348"/>
      <c r="C16" s="352"/>
      <c r="D16" s="353"/>
      <c r="E16" s="353"/>
      <c r="F16" s="354"/>
      <c r="G16" s="47"/>
      <c r="H16" s="47"/>
      <c r="I16" s="49"/>
      <c r="J16" s="49"/>
      <c r="K16" s="49"/>
      <c r="L16" s="47"/>
      <c r="M16" s="46"/>
      <c r="N16" s="44"/>
    </row>
    <row r="17" spans="1:14" ht="15.75">
      <c r="A17" s="47"/>
      <c r="B17" s="47"/>
      <c r="C17" s="47"/>
      <c r="D17" s="47"/>
      <c r="E17" s="47"/>
      <c r="F17" s="47"/>
      <c r="G17" s="47"/>
      <c r="H17" s="47"/>
      <c r="I17" s="47"/>
      <c r="J17" s="47"/>
      <c r="K17" s="47"/>
      <c r="L17" s="47"/>
      <c r="M17" s="46"/>
      <c r="N17" s="44"/>
    </row>
    <row r="18" spans="1:14" ht="20.100000000000001" customHeight="1">
      <c r="A18" s="347" t="s">
        <v>282</v>
      </c>
      <c r="B18" s="348"/>
      <c r="C18" s="349"/>
      <c r="D18" s="350"/>
      <c r="E18" s="350"/>
      <c r="F18" s="351"/>
      <c r="G18" s="47"/>
      <c r="H18" s="48"/>
      <c r="I18" s="355"/>
      <c r="J18" s="355"/>
      <c r="K18" s="50"/>
      <c r="M18" s="44"/>
    </row>
    <row r="19" spans="1:14" ht="20.100000000000001" customHeight="1">
      <c r="A19" s="47"/>
      <c r="B19" s="47"/>
      <c r="C19" s="349"/>
      <c r="D19" s="350"/>
      <c r="E19" s="350"/>
      <c r="F19" s="351"/>
      <c r="G19" s="47"/>
      <c r="H19" s="47"/>
      <c r="I19" s="47"/>
      <c r="J19" s="47"/>
      <c r="K19" s="47"/>
      <c r="L19" s="46"/>
      <c r="M19" s="44"/>
    </row>
    <row r="20" spans="1:14" ht="15.75">
      <c r="A20" s="47"/>
      <c r="B20" s="47"/>
      <c r="C20" s="47"/>
      <c r="D20" s="47"/>
      <c r="E20" s="47"/>
      <c r="F20" s="47"/>
      <c r="G20" s="47"/>
      <c r="H20" s="47"/>
      <c r="I20" s="49"/>
      <c r="J20" s="49"/>
      <c r="K20" s="49"/>
      <c r="L20" s="47"/>
      <c r="M20" s="46"/>
      <c r="N20" s="44"/>
    </row>
    <row r="21" spans="1:14" ht="20.100000000000001" customHeight="1">
      <c r="A21" s="356" t="s">
        <v>400</v>
      </c>
      <c r="B21" s="357"/>
      <c r="C21" s="349"/>
      <c r="D21" s="350"/>
      <c r="E21" s="350"/>
      <c r="F21" s="351"/>
      <c r="G21" s="47"/>
      <c r="H21" s="49"/>
      <c r="I21" s="223" t="s">
        <v>284</v>
      </c>
      <c r="J21" s="349"/>
      <c r="K21" s="351"/>
      <c r="M21" s="46"/>
      <c r="N21" s="44"/>
    </row>
    <row r="22" spans="1:14" ht="15.75">
      <c r="A22" s="140"/>
      <c r="B22" s="140"/>
      <c r="C22" s="140"/>
      <c r="D22" s="140"/>
      <c r="E22" s="140"/>
      <c r="F22" s="140"/>
      <c r="G22" s="140"/>
      <c r="H22" s="140"/>
      <c r="I22" s="140"/>
      <c r="J22" s="140"/>
      <c r="K22" s="140"/>
      <c r="L22" s="141"/>
      <c r="M22" s="142"/>
    </row>
    <row r="23" spans="1:14" ht="15.75">
      <c r="A23" s="344" t="s">
        <v>408</v>
      </c>
      <c r="B23" s="344"/>
      <c r="C23" s="140"/>
      <c r="D23" s="140"/>
      <c r="E23" s="140"/>
      <c r="F23" s="140"/>
      <c r="G23" s="140"/>
      <c r="H23" s="140"/>
      <c r="I23" s="140"/>
      <c r="J23" s="140"/>
      <c r="K23" s="140"/>
      <c r="L23" s="141"/>
      <c r="M23" s="142"/>
    </row>
    <row r="24" spans="1:14" ht="40.15" customHeight="1">
      <c r="A24" s="358" t="s">
        <v>447</v>
      </c>
      <c r="B24" s="359"/>
      <c r="C24" s="359"/>
      <c r="D24" s="359"/>
      <c r="E24" s="359"/>
      <c r="F24" s="359"/>
      <c r="G24" s="359"/>
      <c r="H24" s="359"/>
      <c r="I24" s="359"/>
      <c r="J24" s="359"/>
      <c r="K24" s="359"/>
      <c r="L24" s="141"/>
      <c r="M24" s="142"/>
    </row>
    <row r="25" spans="1:14" ht="15.75">
      <c r="A25" s="140"/>
      <c r="B25" s="140"/>
      <c r="C25" s="140"/>
      <c r="D25" s="140"/>
      <c r="E25" s="140"/>
      <c r="F25" s="140"/>
      <c r="G25" s="140"/>
      <c r="H25" s="140"/>
      <c r="I25" s="140"/>
      <c r="J25" s="140"/>
      <c r="K25" s="140"/>
      <c r="L25" s="141"/>
      <c r="M25" s="142"/>
    </row>
    <row r="26" spans="1:14" ht="18.75">
      <c r="A26" s="360" t="s">
        <v>28</v>
      </c>
      <c r="B26" s="360"/>
      <c r="C26" s="360"/>
      <c r="D26" s="360"/>
      <c r="E26" s="360"/>
      <c r="F26" s="360"/>
      <c r="G26" s="360"/>
      <c r="H26" s="360"/>
      <c r="I26" s="360"/>
      <c r="J26" s="360"/>
      <c r="K26" s="360"/>
      <c r="L26" s="43"/>
      <c r="M26" s="44"/>
    </row>
    <row r="27" spans="1:14" ht="18.75">
      <c r="A27" s="173"/>
      <c r="B27" s="173"/>
      <c r="C27" s="173"/>
      <c r="D27" s="173"/>
      <c r="E27" s="173"/>
      <c r="F27" s="173"/>
      <c r="G27" s="173"/>
      <c r="H27" s="173"/>
      <c r="I27" s="173"/>
      <c r="J27" s="173"/>
      <c r="K27" s="173"/>
      <c r="L27" s="43"/>
      <c r="M27" s="175"/>
    </row>
    <row r="28" spans="1:14" ht="15" customHeight="1">
      <c r="A28" s="338" t="s">
        <v>427</v>
      </c>
      <c r="B28" s="339"/>
      <c r="C28" s="339"/>
      <c r="D28" s="339"/>
      <c r="E28" s="339"/>
      <c r="F28" s="339"/>
      <c r="G28" s="339"/>
      <c r="H28" s="339"/>
      <c r="I28" s="339"/>
      <c r="J28" s="339"/>
      <c r="K28" s="340"/>
      <c r="L28" s="52"/>
      <c r="M28" s="175"/>
    </row>
    <row r="29" spans="1:14" ht="15.75">
      <c r="A29" s="47"/>
      <c r="B29" s="47"/>
      <c r="C29" s="47"/>
      <c r="D29" s="47"/>
      <c r="E29" s="47"/>
      <c r="F29" s="47"/>
      <c r="G29" s="47"/>
      <c r="H29" s="47"/>
      <c r="I29" s="47"/>
      <c r="J29" s="47"/>
      <c r="K29" s="47"/>
      <c r="L29" s="46"/>
      <c r="M29" s="44"/>
    </row>
    <row r="30" spans="1:14" ht="19.899999999999999" customHeight="1">
      <c r="A30" s="341" t="s">
        <v>421</v>
      </c>
      <c r="B30" s="341"/>
      <c r="C30" s="341"/>
      <c r="D30" s="341"/>
      <c r="E30" s="308" t="str">
        <f>brand</f>
        <v>THORN</v>
      </c>
      <c r="F30" s="172"/>
      <c r="G30" s="172"/>
      <c r="H30" s="337" t="str">
        <f>IF(brand="thorn","Low Pressure FM-200 System",IF(brand="lpg","High Pressure FM-200 System",0))</f>
        <v>Low Pressure FM-200 System</v>
      </c>
      <c r="I30" s="337"/>
      <c r="J30" s="337"/>
      <c r="K30" s="172"/>
      <c r="L30" s="168"/>
      <c r="M30" s="169"/>
    </row>
    <row r="31" spans="1:14" ht="15.75">
      <c r="A31" s="172"/>
      <c r="B31" s="172"/>
      <c r="C31" s="172"/>
      <c r="D31" s="172"/>
      <c r="E31" s="172"/>
      <c r="F31" s="172"/>
      <c r="G31" s="172"/>
      <c r="H31" s="172"/>
      <c r="I31" s="172"/>
      <c r="J31" s="172"/>
      <c r="K31" s="172"/>
      <c r="L31" s="46"/>
      <c r="M31" s="44"/>
    </row>
    <row r="32" spans="1:14" ht="19.899999999999999" customHeight="1">
      <c r="A32" s="341" t="s">
        <v>38</v>
      </c>
      <c r="B32" s="341"/>
      <c r="C32" s="341"/>
      <c r="D32" s="341"/>
      <c r="E32" s="309">
        <f>Total_Agent</f>
        <v>98</v>
      </c>
      <c r="F32" s="51" t="s">
        <v>2</v>
      </c>
      <c r="G32" s="172"/>
      <c r="H32" s="172"/>
      <c r="I32" s="172"/>
      <c r="J32" s="172"/>
      <c r="K32" s="172"/>
      <c r="L32" s="46"/>
      <c r="M32" s="44"/>
    </row>
    <row r="33" spans="1:13" ht="19.899999999999999" customHeight="1">
      <c r="A33" s="48"/>
      <c r="B33" s="172"/>
      <c r="C33" s="172"/>
      <c r="D33" s="172"/>
      <c r="E33" s="172"/>
      <c r="F33" s="172"/>
      <c r="G33" s="361"/>
      <c r="H33" s="361"/>
      <c r="I33" s="361"/>
      <c r="J33" s="361"/>
      <c r="K33" s="361"/>
      <c r="L33" s="46"/>
      <c r="M33" s="44"/>
    </row>
    <row r="34" spans="1:13" ht="19.899999999999999" customHeight="1">
      <c r="A34" s="341" t="s">
        <v>422</v>
      </c>
      <c r="B34" s="341"/>
      <c r="C34" s="341"/>
      <c r="D34" s="341"/>
      <c r="E34" s="309">
        <f>Cylinder_Size</f>
        <v>147</v>
      </c>
      <c r="F34" s="51" t="s">
        <v>300</v>
      </c>
      <c r="G34" s="170"/>
      <c r="H34" s="337" t="s">
        <v>27</v>
      </c>
      <c r="I34" s="337"/>
      <c r="J34" s="337"/>
      <c r="K34" s="308">
        <f>Number_of_Cylinder</f>
        <v>1</v>
      </c>
      <c r="L34" s="46"/>
      <c r="M34" s="44"/>
    </row>
    <row r="35" spans="1:13" ht="19.899999999999999" customHeight="1">
      <c r="A35" s="172"/>
      <c r="B35" s="172"/>
      <c r="C35" s="172"/>
      <c r="D35" s="172"/>
      <c r="E35" s="172"/>
      <c r="F35" s="172"/>
      <c r="G35" s="172"/>
      <c r="H35" s="172"/>
      <c r="I35" s="172"/>
      <c r="J35" s="172"/>
      <c r="K35" s="172"/>
      <c r="L35" s="46"/>
      <c r="M35" s="44"/>
    </row>
    <row r="36" spans="1:13" ht="19.899999999999999" customHeight="1">
      <c r="A36" s="341" t="s">
        <v>423</v>
      </c>
      <c r="B36" s="341"/>
      <c r="C36" s="341"/>
      <c r="D36" s="341"/>
      <c r="E36" s="310">
        <f>'Nozzle &amp; Flow Rate'!V35</f>
        <v>4</v>
      </c>
      <c r="F36" s="172"/>
      <c r="G36" s="172"/>
      <c r="H36" s="172"/>
      <c r="I36" s="172"/>
      <c r="J36" s="172"/>
      <c r="K36" s="172"/>
      <c r="L36" s="46"/>
      <c r="M36" s="44"/>
    </row>
    <row r="37" spans="1:13" ht="19.899999999999999" customHeight="1">
      <c r="A37" s="172"/>
      <c r="B37" s="172"/>
      <c r="C37" s="172"/>
      <c r="D37" s="172"/>
      <c r="E37" s="172"/>
      <c r="F37" s="172"/>
      <c r="G37" s="172"/>
      <c r="H37" s="172"/>
      <c r="I37" s="172"/>
      <c r="J37" s="172"/>
      <c r="K37" s="172"/>
      <c r="L37" s="46"/>
      <c r="M37" s="44"/>
    </row>
    <row r="38" spans="1:13" ht="19.899999999999999" customHeight="1">
      <c r="A38" s="172"/>
      <c r="B38" s="172"/>
      <c r="C38" s="172"/>
      <c r="D38" s="172"/>
      <c r="E38" s="172"/>
      <c r="F38" s="172"/>
      <c r="G38" s="172"/>
      <c r="H38" s="172"/>
      <c r="I38" s="172"/>
      <c r="J38" s="172"/>
      <c r="K38" s="172"/>
      <c r="L38" s="44"/>
      <c r="M38" s="44"/>
    </row>
    <row r="39" spans="1:13" ht="19.899999999999999" customHeight="1">
      <c r="A39" s="174"/>
      <c r="B39" s="174"/>
      <c r="C39" s="174"/>
      <c r="D39" s="174"/>
      <c r="E39" s="53"/>
      <c r="F39" s="174"/>
      <c r="G39" s="174"/>
      <c r="H39" s="174"/>
      <c r="I39" s="174"/>
      <c r="J39" s="174"/>
      <c r="K39" s="53"/>
      <c r="L39" s="44"/>
      <c r="M39" s="44"/>
    </row>
    <row r="40" spans="1:13" ht="19.899999999999999" customHeight="1">
      <c r="A40" s="44"/>
      <c r="B40" s="44"/>
      <c r="C40" s="44"/>
      <c r="D40" s="44"/>
      <c r="E40" s="44"/>
      <c r="F40" s="44"/>
      <c r="G40" s="44"/>
      <c r="H40" s="44"/>
      <c r="I40" s="44"/>
      <c r="J40" s="44"/>
      <c r="K40" s="44"/>
      <c r="L40" s="44"/>
      <c r="M40" s="44"/>
    </row>
    <row r="41" spans="1:13" ht="15.75">
      <c r="A41" s="44"/>
      <c r="B41" s="44"/>
      <c r="C41" s="44"/>
      <c r="D41" s="44"/>
      <c r="E41" s="44"/>
      <c r="F41" s="44"/>
      <c r="G41" s="44"/>
      <c r="H41" s="44"/>
      <c r="I41" s="44"/>
      <c r="J41" s="44"/>
      <c r="K41" s="44"/>
      <c r="L41" s="44"/>
      <c r="M41" s="44"/>
    </row>
    <row r="42" spans="1:13" ht="15.75">
      <c r="A42" s="44"/>
      <c r="B42" s="44"/>
      <c r="C42" s="44"/>
      <c r="D42" s="44"/>
      <c r="E42" s="44"/>
      <c r="F42" s="44"/>
      <c r="G42" s="44"/>
      <c r="H42" s="44"/>
      <c r="I42" s="44"/>
      <c r="J42" s="44"/>
      <c r="K42" s="44"/>
      <c r="L42" s="44"/>
      <c r="M42" s="44"/>
    </row>
    <row r="43" spans="1:13" ht="15.75">
      <c r="A43" s="44"/>
      <c r="B43" s="44"/>
      <c r="C43" s="44"/>
      <c r="D43" s="44"/>
      <c r="E43" s="44"/>
      <c r="F43" s="44"/>
      <c r="G43" s="44"/>
      <c r="H43" s="44"/>
      <c r="I43" s="44"/>
      <c r="J43" s="44"/>
      <c r="K43" s="44"/>
      <c r="L43" s="44"/>
      <c r="M43" s="44"/>
    </row>
    <row r="44" spans="1:13" ht="15.75">
      <c r="A44" s="44"/>
      <c r="B44" s="44"/>
      <c r="C44" s="44"/>
      <c r="D44" s="44"/>
      <c r="E44" s="44"/>
      <c r="F44" s="44"/>
      <c r="G44" s="44"/>
      <c r="H44" s="44"/>
      <c r="I44" s="44"/>
      <c r="J44" s="44"/>
      <c r="K44" s="44"/>
      <c r="L44" s="44"/>
      <c r="M44" s="44"/>
    </row>
    <row r="45" spans="1:13" ht="15.75">
      <c r="A45" s="44"/>
      <c r="B45" s="44"/>
      <c r="C45" s="44"/>
      <c r="D45" s="44"/>
      <c r="E45" s="44"/>
      <c r="F45" s="44"/>
      <c r="G45" s="44"/>
      <c r="H45" s="44"/>
      <c r="I45" s="44"/>
      <c r="J45" s="44"/>
      <c r="K45" s="44"/>
      <c r="L45" s="44"/>
      <c r="M45" s="44"/>
    </row>
    <row r="46" spans="1:13" ht="15.75">
      <c r="A46" s="44"/>
      <c r="B46" s="44"/>
      <c r="C46" s="44"/>
      <c r="D46" s="44"/>
      <c r="E46" s="44"/>
      <c r="F46" s="44"/>
      <c r="G46" s="44"/>
      <c r="H46" s="44"/>
      <c r="I46" s="44"/>
      <c r="J46" s="44"/>
      <c r="K46" s="44"/>
      <c r="L46" s="44"/>
      <c r="M46" s="44"/>
    </row>
    <row r="47" spans="1:13" ht="15.75">
      <c r="A47" s="44"/>
      <c r="B47" s="44"/>
      <c r="C47" s="44"/>
      <c r="D47" s="44"/>
      <c r="E47" s="44"/>
      <c r="F47" s="44"/>
      <c r="G47" s="44"/>
      <c r="H47" s="44"/>
      <c r="I47" s="44"/>
      <c r="J47" s="44"/>
      <c r="K47" s="44"/>
      <c r="L47" s="44"/>
      <c r="M47" s="44"/>
    </row>
    <row r="48" spans="1:13" ht="15.75">
      <c r="A48" s="44"/>
      <c r="B48" s="44"/>
      <c r="C48" s="44"/>
      <c r="D48" s="44"/>
      <c r="E48" s="44"/>
      <c r="F48" s="44"/>
      <c r="G48" s="44"/>
      <c r="H48" s="44"/>
      <c r="I48" s="44"/>
      <c r="J48" s="44"/>
      <c r="K48" s="44"/>
      <c r="L48" s="44"/>
      <c r="M48" s="44"/>
    </row>
    <row r="49" spans="1:13" ht="15.75">
      <c r="A49" s="44"/>
      <c r="B49" s="44"/>
      <c r="C49" s="44"/>
      <c r="D49" s="44"/>
      <c r="E49" s="44"/>
      <c r="F49" s="44"/>
      <c r="G49" s="44"/>
      <c r="H49" s="44"/>
      <c r="I49" s="44"/>
      <c r="J49" s="44"/>
      <c r="K49" s="44"/>
      <c r="L49" s="44"/>
      <c r="M49" s="44"/>
    </row>
    <row r="50" spans="1:13" ht="15.75">
      <c r="A50" s="44"/>
      <c r="B50" s="44"/>
      <c r="C50" s="44"/>
      <c r="D50" s="44"/>
      <c r="E50" s="44"/>
      <c r="F50" s="44"/>
      <c r="G50" s="44"/>
      <c r="H50" s="44"/>
      <c r="I50" s="44"/>
      <c r="J50" s="44"/>
      <c r="K50" s="44"/>
      <c r="L50" s="44"/>
      <c r="M50" s="44"/>
    </row>
    <row r="51" spans="1:13" ht="15.75">
      <c r="A51" s="44"/>
      <c r="B51" s="44"/>
      <c r="C51" s="44"/>
      <c r="D51" s="44"/>
      <c r="E51" s="44"/>
      <c r="F51" s="44"/>
      <c r="G51" s="44"/>
      <c r="H51" s="44"/>
      <c r="I51" s="44"/>
      <c r="J51" s="44"/>
      <c r="K51" s="44"/>
      <c r="L51" s="44"/>
      <c r="M51" s="44"/>
    </row>
    <row r="52" spans="1:13" ht="15.75">
      <c r="A52" s="44"/>
      <c r="B52" s="44"/>
      <c r="C52" s="44"/>
      <c r="D52" s="44"/>
      <c r="E52" s="44"/>
      <c r="F52" s="44"/>
      <c r="G52" s="44"/>
      <c r="H52" s="44"/>
      <c r="I52" s="44"/>
      <c r="J52" s="44"/>
      <c r="K52" s="44"/>
      <c r="L52" s="44"/>
      <c r="M52" s="44"/>
    </row>
  </sheetData>
  <sheetProtection algorithmName="SHA-512" hashValue="6aDWYKQXz4ePTQoaTs9tTRQthuf90othBLeXLTMagcz/WyQqFmwlfNBPgcmGnNy3vWwuTIaMrS+0cGjdCImt+g==" saltValue="jX7qCDzedpLVet731Y0I4A==" spinCount="100000" sheet="1" objects="1" scenarios="1"/>
  <mergeCells count="34">
    <mergeCell ref="J3:K3"/>
    <mergeCell ref="A6:K6"/>
    <mergeCell ref="A26:K26"/>
    <mergeCell ref="G33:K33"/>
    <mergeCell ref="J21:K21"/>
    <mergeCell ref="C10:F10"/>
    <mergeCell ref="A36:D36"/>
    <mergeCell ref="J15:K15"/>
    <mergeCell ref="A16:B16"/>
    <mergeCell ref="C16:F16"/>
    <mergeCell ref="A18:B18"/>
    <mergeCell ref="C18:F18"/>
    <mergeCell ref="I18:J18"/>
    <mergeCell ref="C19:F19"/>
    <mergeCell ref="A21:B21"/>
    <mergeCell ref="C21:F21"/>
    <mergeCell ref="A34:D34"/>
    <mergeCell ref="A32:D32"/>
    <mergeCell ref="A23:B23"/>
    <mergeCell ref="A24:K24"/>
    <mergeCell ref="A30:D30"/>
    <mergeCell ref="H30:J30"/>
    <mergeCell ref="H34:J34"/>
    <mergeCell ref="A28:K28"/>
    <mergeCell ref="A9:B9"/>
    <mergeCell ref="J9:K9"/>
    <mergeCell ref="A4:K4"/>
    <mergeCell ref="A5:K5"/>
    <mergeCell ref="C9:F9"/>
    <mergeCell ref="A12:B12"/>
    <mergeCell ref="C12:F12"/>
    <mergeCell ref="C13:F13"/>
    <mergeCell ref="A15:B15"/>
    <mergeCell ref="C15:F15"/>
  </mergeCells>
  <phoneticPr fontId="2" type="noConversion"/>
  <hyperlinks>
    <hyperlink ref="A26:G26" location="'FM 200 Calculation'!A1" display="Insert  Data" xr:uid="{00000000-0004-0000-0100-000000000000}"/>
    <hyperlink ref="A26:K26" location="'Protected Areas'!A1" display="Insert  Data" xr:uid="{00000000-0004-0000-0100-000001000000}"/>
    <hyperlink ref="A28:K28" location="'FM 200 Calculation'!A1" display="Agent Calculation Result" xr:uid="{00000000-0004-0000-0100-000002000000}"/>
  </hyperlinks>
  <printOptions horizontalCentered="1"/>
  <pageMargins left="0.5" right="0.5" top="0.5" bottom="0.5" header="0.5" footer="0.5"/>
  <pageSetup paperSize="9" scale="92" orientation="portrait" horizontalDpi="300" verticalDpi="300" r:id="rId1"/>
  <headerFooter alignWithMargins="0">
    <oddHeader>&amp;L&amp;G</oddHeader>
    <oddFooter xml:space="preserve">&amp;L&amp;"+,Regular"&amp;7Tel  : +98 (21) 4420 1601
Tel  : +98 (21) 4420 1768
Fax : +98 (21) 4420 1934&amp;C&amp;"+,Regular"&amp;8-  1  -&amp;R&amp;"+,Regular"&amp;7Design by Ali Cheraghi
                 ( BSEE )                  </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Z39"/>
  <sheetViews>
    <sheetView workbookViewId="0">
      <selection activeCell="O23" sqref="O23:Q23"/>
    </sheetView>
  </sheetViews>
  <sheetFormatPr defaultRowHeight="12.75"/>
  <cols>
    <col min="1" max="1" width="15.85546875" bestFit="1" customWidth="1"/>
    <col min="2" max="2" width="16.5703125" bestFit="1" customWidth="1"/>
    <col min="5" max="6" width="12.85546875" customWidth="1"/>
  </cols>
  <sheetData>
    <row r="2" spans="1:26">
      <c r="A2" s="152" t="s">
        <v>412</v>
      </c>
      <c r="B2" s="152" t="s">
        <v>466</v>
      </c>
      <c r="D2" s="363">
        <f>IF(Standards="NFPA 2001",1,IF(Standards="ISO 14520 - 9",2,IF(Standards="FM",3,IF(Standards="VDS 2381",4,0))))</f>
        <v>1</v>
      </c>
      <c r="E2" s="363"/>
      <c r="F2" s="363"/>
      <c r="G2" s="363"/>
    </row>
    <row r="3" spans="1:26" ht="15.75">
      <c r="A3" s="152" t="s">
        <v>468</v>
      </c>
      <c r="B3" s="42" t="s">
        <v>409</v>
      </c>
      <c r="D3" s="76" t="s">
        <v>296</v>
      </c>
      <c r="E3" s="77" t="str">
        <f>IF(Fire_Class_NO=1,"According to NFPA 2001 (2015 Edition)(Table A.5.4.2.2 (b)) Minimum 6.7 % Design Concentration is Recommended for Class A",IF(Fire_Class_NO=2,"According to NFPA 2001 (2015 Edition)(Table A.5.4.2.2 (b)) Minimum 8.7 % Design Concentration is Recommend for Class B of Fires, Select M.D.C. From Table",IF(Fire_Class_NO=3,"According to NFPA 2001 (2015 Edition)(Table A.5.4.2.2 (b)) Minimum 7 % Design Concentration is Recommend for Class C of Fires","Please Insert Valid Character")))</f>
        <v>According to NFPA 2001 (2015 Edition)(Table A.5.4.2.2 (b)) Minimum 7 % Design Concentration is Recommend for Class C of Fires</v>
      </c>
      <c r="F3" s="77">
        <f>IF('Protected Areas'!E10=1,1,0)</f>
        <v>1</v>
      </c>
      <c r="G3" s="79">
        <f>IF(Fire_Class_NO=1,6.7,IF(Fire_Class_NO=2,8.7,IF(Fire_Class_NO=3,7)))</f>
        <v>7</v>
      </c>
      <c r="M3">
        <v>1</v>
      </c>
    </row>
    <row r="4" spans="1:26" ht="15.75">
      <c r="A4" s="152" t="s">
        <v>469</v>
      </c>
      <c r="B4" s="42" t="s">
        <v>410</v>
      </c>
      <c r="D4" s="76" t="s">
        <v>295</v>
      </c>
      <c r="E4" s="77" t="str">
        <f>IF(Fire_Class_NO=1,"According to ISO14520 Minimum 7.9 % Design Concentration is Recommended for Class A",IF(Fire_Class_NO=2,"According to ISO14520 Minimum 9 % Design Concentration is Recommend for Class B of Fires",IF(Fire_Class_NO=3,"According to ISO14520 Minimum 8.5 % Design Concentration is Recommend for Higher Hazard Class A of Fires","Please Insert Valid Character")))</f>
        <v>According to ISO14520 Minimum 8.5 % Design Concentration is Recommend for Higher Hazard Class A of Fires</v>
      </c>
      <c r="F4" s="77">
        <f>IF('Protected Areas'!E10=2,1,0)</f>
        <v>0</v>
      </c>
      <c r="G4" s="79">
        <f>IF(Fire_Class_NO=1,7.9,IF(Fire_Class_NO=2,9,IF(Fire_Class_NO=3,8.5)))</f>
        <v>8.5</v>
      </c>
      <c r="M4">
        <v>2</v>
      </c>
    </row>
    <row r="5" spans="1:26" ht="15.75">
      <c r="A5" s="152" t="s">
        <v>297</v>
      </c>
      <c r="B5" s="42" t="s">
        <v>411</v>
      </c>
      <c r="D5" s="162" t="s">
        <v>297</v>
      </c>
      <c r="E5" s="163" t="str">
        <f>IF(Fire_Class_NO=1,"According to FM Minimum 7.14 % Design Concentration is Recommended for Class A",IF(Fire_Class_NO=2,"According to FM Minimum 9 % Design Concentration is Recommend for Class B of Fires",IF(Fire_Class_NO=3,"According to FM Minimum 7.17 % Design Concentration is Recommend for Class C of Fires","Please Insert Valid Character")))</f>
        <v>According to FM Minimum 7.17 % Design Concentration is Recommend for Class C of Fires</v>
      </c>
      <c r="F5" s="77">
        <f>IF('Protected Areas'!E10=3,1,0)</f>
        <v>0</v>
      </c>
      <c r="G5" s="164">
        <f>IF(Fire_Class_NO=1,7.17,IF(Fire_Class_NO=2,9,IF(Fire_Class_NO=3,7.17)))</f>
        <v>7.17</v>
      </c>
      <c r="M5">
        <v>3</v>
      </c>
    </row>
    <row r="6" spans="1:26" ht="15.75">
      <c r="A6" s="152" t="s">
        <v>470</v>
      </c>
      <c r="D6" s="76" t="s">
        <v>298</v>
      </c>
      <c r="E6" s="77" t="str">
        <f>IF(Fire_Class_NO=1,"According to Vds Minimum 7.0 % Design Concentration is Recommended for Class A",IF(Fire_Class_NO=2,"According to Vds Minimum 8.7 % Design Concentration is Recommend for Class B of Fires",IF(Fire_Class_NO=3,"According to Vds Minimum 7.2 % Design Concentration is Recommend for Class C of Fires","Please Insert Valid Character")))</f>
        <v>According to Vds Minimum 7.2 % Design Concentration is Recommend for Class C of Fires</v>
      </c>
      <c r="F6" s="77">
        <f>IF('Protected Areas'!E10=4,1,0)</f>
        <v>0</v>
      </c>
      <c r="G6" s="79">
        <f>IF(Fire_Class_NO=1,7,IF(Fire_Class_NO=2,8.7,IF(Fire_Class_NO=3,7.2)))</f>
        <v>7.2</v>
      </c>
      <c r="M6">
        <v>4</v>
      </c>
    </row>
    <row r="7" spans="1:26" ht="15.75">
      <c r="A7" s="152" t="s">
        <v>530</v>
      </c>
      <c r="D7" s="76" t="s">
        <v>529</v>
      </c>
      <c r="E7" s="77" t="str">
        <f>IF(Fire_Class_NO=1,"According to EN 15004 Minimum 7.9 % Design Concentration is Recommended for Class A",IF(Fire_Class_NO=2,"According to EN 15004 Minimum 9 % Design Concentration is Recommend for Class B of Fires",IF(Fire_Class_NO=3,"According to EN 15004 Minimum 8.5 % Design Concentration is Recommend for Higher Hazard Class A of Fires","Please Insert Valid Character")))</f>
        <v>According to EN 15004 Minimum 8.5 % Design Concentration is Recommend for Higher Hazard Class A of Fires</v>
      </c>
      <c r="F7" s="77">
        <f>IF('Protected Areas'!E10=5,1,0)</f>
        <v>0</v>
      </c>
      <c r="G7" s="79">
        <f>IF(Fire_Class_NO=1,7.9,IF(Fire_Class_NO=2,9,IF(Fire_Class_NO=3,8.5)))</f>
        <v>8.5</v>
      </c>
      <c r="M7">
        <v>5</v>
      </c>
    </row>
    <row r="8" spans="1:26">
      <c r="A8" s="152"/>
      <c r="E8" t="str">
        <f>IF(F3=1,E3,IF(F4=1,E4,IF(F5=1,E5,IF(F6=1,E6,IF(F7=1,E7,"Inter Valid Data")))))</f>
        <v>According to NFPA 2001 (2015 Edition)(Table A.5.4.2.2 (b)) Minimum 7 % Design Concentration is Recommend for Class C of Fires</v>
      </c>
    </row>
    <row r="12" spans="1:26">
      <c r="A12" s="152" t="s">
        <v>413</v>
      </c>
      <c r="B12" s="152" t="s">
        <v>414</v>
      </c>
      <c r="C12" s="152" t="s">
        <v>375</v>
      </c>
      <c r="D12" s="152" t="s">
        <v>376</v>
      </c>
      <c r="E12" s="152" t="s">
        <v>419</v>
      </c>
    </row>
    <row r="13" spans="1:26" ht="15.75">
      <c r="A13" s="152" t="s">
        <v>375</v>
      </c>
      <c r="B13" s="153">
        <v>4.5</v>
      </c>
      <c r="C13" s="153">
        <v>4.5</v>
      </c>
      <c r="D13" s="153">
        <v>5</v>
      </c>
      <c r="E13" s="42">
        <f t="shared" ref="E13:E20" si="0">IF(brand="thorn",C13,IF(brand="lpg",D13,0))</f>
        <v>4.5</v>
      </c>
      <c r="O13" s="364" t="str">
        <f>IF(Cylinder_Size=4.5,"2.3 to 4.5",IF(Cylinder_Size=8,"4.0 to 8.0",IF(Cylinder_Size=16,"8.0 to 16.0",IF(Cylinder_Size=32,"16.0 to 32.0",IF(Cylinder_Size=40,"20.0 to 40.0",IF(Cylinder_Size=52,"26.0 to 52.0",IF(Cylinder_Size=67.5,"33.8 to 67.5",IF(Cylinder_Size=80,"40.0 to 80.0",IF(Cylinder_Size=106,"53.0 to 106.0",IF(Cylinder_Size=147,"74.0 to 147.0",IF(Cylinder_Size=180,"90.0 to180.0",IF(Cylinder_Size=343,"172.0 to 343.0",0))))))))))))</f>
        <v>74.0 to 147.0</v>
      </c>
      <c r="P13" s="364"/>
      <c r="Q13" s="364"/>
      <c r="R13" s="366" t="s">
        <v>395</v>
      </c>
      <c r="S13" s="366"/>
      <c r="T13" s="262"/>
      <c r="U13" s="262"/>
      <c r="V13" s="262"/>
      <c r="W13" s="262"/>
      <c r="X13" s="262"/>
      <c r="Y13" s="155"/>
      <c r="Z13" s="155"/>
    </row>
    <row r="14" spans="1:26" ht="15.75">
      <c r="A14" s="152" t="s">
        <v>376</v>
      </c>
      <c r="B14" s="153">
        <v>8</v>
      </c>
      <c r="C14" s="153">
        <v>8</v>
      </c>
      <c r="D14" s="153">
        <v>13.4</v>
      </c>
      <c r="E14" s="42">
        <f t="shared" si="0"/>
        <v>8</v>
      </c>
      <c r="O14" s="364">
        <f>IF(Cylinder_Size=5,"2.4 to 5.7",IF(Cylinder_Size=13.4,"6.5 to 15.4",IF(Cylinder_Size=26.8,"12.9 to 30.8",IF(Cylinder_Size=40.2,"19.3 to 46.2",IF(Cylinder_Size=67,"33.8 to 67.5",IF(Cylinder_Size=75,"36 to 86.2",IF(Cylinder_Size=100,"48 to 115",IF(Cylinder_Size=120,"57.6 to 138",0))))))))</f>
        <v>0</v>
      </c>
      <c r="P14" s="364"/>
      <c r="Q14" s="364"/>
      <c r="R14" s="366" t="s">
        <v>396</v>
      </c>
      <c r="S14" s="366"/>
      <c r="T14" s="262"/>
      <c r="U14" s="262"/>
      <c r="V14" s="262"/>
      <c r="W14" s="262"/>
      <c r="X14" s="262"/>
      <c r="Y14" s="155"/>
      <c r="Z14" s="155"/>
    </row>
    <row r="15" spans="1:26" ht="15.75">
      <c r="B15" s="153">
        <v>16</v>
      </c>
      <c r="C15" s="153">
        <v>16</v>
      </c>
      <c r="D15" s="153">
        <v>26.8</v>
      </c>
      <c r="E15" s="42">
        <f t="shared" si="0"/>
        <v>16</v>
      </c>
      <c r="N15" s="261"/>
      <c r="O15" s="364" t="str">
        <f>IF(Cylinder_Size=4.5,THORN_4.5,IF(Cylinder_Size=8,THORN_8,IF(Cylinder_Size=16,THORN_16,IF(Cylinder_Size=32,THORN_32,IF(Cylinder_Size=40,THORN_40,IF(Cylinder_Size=52,THORN_52,IF(Cylinder_Size=67,THORN_67,IF(Cylinder_Size=80,THORN_80,IF(Cylinder_Size=106,THORN_106,IF(Cylinder_Size=147,THORN_147,IF(Cylinder_Size=180,THORN_180,IF(Cylinder_Size=343,THORN_343,0))))))))))))</f>
        <v>303.205.020</v>
      </c>
      <c r="P15" s="364"/>
      <c r="Q15" s="364"/>
      <c r="R15" s="262" t="s">
        <v>381</v>
      </c>
      <c r="S15" s="262"/>
      <c r="T15" s="262"/>
      <c r="U15" s="262"/>
      <c r="V15" s="262"/>
      <c r="W15" s="262"/>
      <c r="X15" s="262"/>
      <c r="Y15" s="155"/>
      <c r="Z15" s="155"/>
    </row>
    <row r="16" spans="1:26" ht="15.75">
      <c r="B16" s="153">
        <v>32</v>
      </c>
      <c r="C16" s="153">
        <v>32</v>
      </c>
      <c r="D16" s="153">
        <v>40.200000000000003</v>
      </c>
      <c r="E16" s="42">
        <f t="shared" si="0"/>
        <v>32</v>
      </c>
      <c r="N16" s="261"/>
      <c r="O16" s="364">
        <f>IF(Number_of_Cylinder=1,IF(Cylinder_Size=5,LPG_5_M1,IF(Cylinder_Size=13.4,LPG_13.4_M1,IF(Cylinder_Size=26.8,LPG_26.8_M1,IF(Cylinder_Size=40.2,LPG_40.2_M1,IF(Cylinder_Size=67,LPG_67_M1,IF(Cylinder_Size=75,LPG_75_M1,IF(Cylinder_Size=100,LPG_100_M1,IF(Cylinder_Size=120,LPG_120_M1,0)))))))))</f>
        <v>0</v>
      </c>
      <c r="P16" s="364"/>
      <c r="Q16" s="364"/>
      <c r="R16" s="262" t="s">
        <v>382</v>
      </c>
      <c r="S16" s="262"/>
      <c r="T16" s="262"/>
      <c r="U16" s="262"/>
      <c r="V16" s="262" t="s">
        <v>391</v>
      </c>
      <c r="W16" s="262"/>
      <c r="X16" s="262"/>
      <c r="Y16" s="155"/>
      <c r="Z16" s="155"/>
    </row>
    <row r="17" spans="2:26" ht="15.75">
      <c r="B17" s="153">
        <v>52</v>
      </c>
      <c r="C17" s="153">
        <v>52</v>
      </c>
      <c r="D17" s="153">
        <v>67</v>
      </c>
      <c r="E17" s="42">
        <f t="shared" si="0"/>
        <v>52</v>
      </c>
      <c r="N17" s="261"/>
      <c r="O17" s="364" t="b">
        <f>IF(Number_of_Cylinder&gt;1,IF(Cylinder_Size=67,LPG_67_M2,IF(Cylinder_Size=75,LPG_75_M2,IF(Cylinder_Size=100,LPG_100_M2,IF(Cylinder_Size=120,LPG_120_M2,0)))))</f>
        <v>0</v>
      </c>
      <c r="P17" s="364"/>
      <c r="Q17" s="364"/>
      <c r="R17" s="262" t="s">
        <v>382</v>
      </c>
      <c r="S17" s="262"/>
      <c r="T17" s="262"/>
      <c r="U17" s="262"/>
      <c r="V17" s="262" t="s">
        <v>392</v>
      </c>
      <c r="W17" s="262"/>
      <c r="X17" s="262"/>
      <c r="Y17" s="155"/>
      <c r="Z17" s="155"/>
    </row>
    <row r="18" spans="2:26" ht="15.75">
      <c r="B18" s="153">
        <v>106</v>
      </c>
      <c r="C18" s="153">
        <v>106</v>
      </c>
      <c r="D18" s="153">
        <v>75</v>
      </c>
      <c r="E18" s="42">
        <f t="shared" si="0"/>
        <v>106</v>
      </c>
      <c r="N18" s="233"/>
      <c r="O18" s="364" t="b">
        <f>IF(Number_of_Cylinder&gt;1,IF(Cylinder_Size=67,LPG_67_M2,IF(Cylinder_Size=75,LPG_75_M2,IF(Cylinder_Size=100,LPG_100_M2,IF(Cylinder_Size=120,LPG_120_M2,0)))))</f>
        <v>0</v>
      </c>
      <c r="P18" s="364"/>
      <c r="Q18" s="364"/>
      <c r="R18" s="262" t="s">
        <v>382</v>
      </c>
      <c r="S18" s="262"/>
      <c r="T18" s="262"/>
      <c r="U18" s="262"/>
      <c r="V18" s="262" t="s">
        <v>392</v>
      </c>
      <c r="W18" s="262"/>
      <c r="X18" s="262"/>
      <c r="Y18" s="155"/>
      <c r="Z18" s="155"/>
    </row>
    <row r="19" spans="2:26" ht="15.75">
      <c r="B19" s="153">
        <v>147</v>
      </c>
      <c r="C19" s="153">
        <v>147</v>
      </c>
      <c r="D19" s="153">
        <v>100</v>
      </c>
      <c r="E19" s="42">
        <f t="shared" si="0"/>
        <v>147</v>
      </c>
      <c r="N19" s="233"/>
      <c r="O19" s="364" t="b">
        <f>IF(Number_of_Cylinder&gt;1,IF(Cylinder_Size=67,LPG_67_S,IF(Cylinder_Size=75,LPG_75_S,IF(Cylinder_Size=100,LPG_100_S,IF(Cylinder_Size=120,LPG_120_S,0)))))</f>
        <v>0</v>
      </c>
      <c r="P19" s="364"/>
      <c r="Q19" s="364"/>
      <c r="R19" s="262" t="s">
        <v>382</v>
      </c>
      <c r="S19" s="262"/>
      <c r="T19" s="95"/>
      <c r="U19" s="95"/>
      <c r="V19" s="262" t="s">
        <v>393</v>
      </c>
      <c r="W19" s="95"/>
      <c r="X19" s="95"/>
      <c r="Y19" s="155"/>
      <c r="Z19" s="155"/>
    </row>
    <row r="20" spans="2:26" ht="14.25">
      <c r="B20" s="153">
        <v>180</v>
      </c>
      <c r="C20" s="153">
        <v>180</v>
      </c>
      <c r="D20" s="153">
        <v>120</v>
      </c>
      <c r="E20" s="42">
        <f t="shared" si="0"/>
        <v>180</v>
      </c>
      <c r="N20" s="235"/>
      <c r="O20" s="56"/>
      <c r="P20" s="233"/>
      <c r="Q20" s="233"/>
      <c r="R20" s="56"/>
      <c r="S20" s="56"/>
      <c r="T20" s="56"/>
      <c r="U20" s="56"/>
      <c r="V20" s="56"/>
      <c r="W20" s="56"/>
      <c r="X20" s="56"/>
      <c r="Y20" s="154"/>
      <c r="Z20" s="154"/>
    </row>
    <row r="21" spans="2:26" ht="14.25">
      <c r="B21" s="153">
        <v>5</v>
      </c>
      <c r="D21" s="153"/>
      <c r="N21" s="235"/>
      <c r="O21" s="365">
        <f>IF(Cylinder_Size=4.5,T_4.5_Min,IF(Cylinder_Size=8,T_8_Min,IF(Cylinder_Size=16,T_16_Min,IF(Cylinder_Size=32,T_32_Min,IF(Cylinder_Size=40,T_40_Min,IF(Cylinder_Size=52,T_52_Min,IF(Cylinder_Size=67.5,T_67.5_Min,IF(Cylinder_Size=80,T_80_Min,IF(Cylinder_Size=106,T_106_Min,IF(Cylinder_Size=147,T_147_Min,IF(Cylinder_Size=180,T_180_Min,IF(Cylinder_Size=343,T_343_Min,0))))))))))))</f>
        <v>74</v>
      </c>
      <c r="P21" s="365"/>
      <c r="Q21" s="365"/>
      <c r="R21" s="366" t="s">
        <v>487</v>
      </c>
      <c r="S21" s="366"/>
      <c r="T21" s="95"/>
      <c r="U21" s="95"/>
      <c r="V21" s="262"/>
      <c r="W21" s="95"/>
      <c r="X21" s="95"/>
      <c r="Y21" s="154"/>
      <c r="Z21" s="154"/>
    </row>
    <row r="22" spans="2:26" ht="14.25">
      <c r="B22" s="153">
        <v>13.4</v>
      </c>
      <c r="D22" s="153"/>
      <c r="N22" s="235"/>
      <c r="O22" s="365">
        <f>IF(Cylinder_Size=5,L_5_Min,IF(Cylinder_Size=13.4,L_13.4_Min,IF(Cylinder_Size=26.8,L_26.8_Min,IF(Cylinder_Size=40.2,L_40.2_Min,IF(Cylinder_Size=67,L_67_Min,IF(Cylinder_Size=75,L_75_Min,IF(Cylinder_Size=100,L_100_Min,IF(Cylinder_Size=120,L_120_Min,0))))))))</f>
        <v>0</v>
      </c>
      <c r="P22" s="365"/>
      <c r="Q22" s="365"/>
      <c r="R22" s="366" t="s">
        <v>488</v>
      </c>
      <c r="S22" s="366"/>
      <c r="T22" s="95"/>
      <c r="U22" s="95"/>
      <c r="V22" s="262"/>
      <c r="W22" s="95"/>
      <c r="X22" s="95"/>
      <c r="Y22" s="154"/>
      <c r="Z22" s="154"/>
    </row>
    <row r="23" spans="2:26">
      <c r="B23" s="153">
        <v>26.8</v>
      </c>
      <c r="D23" s="153"/>
      <c r="O23" s="365">
        <f>IF(Cylinder_Size=4.5,T_4.5_Max,IF(Cylinder_Size=8,T_8_Max,IF(Cylinder_Size=16,T_16_Max,IF(Cylinder_Size=32,T_32_Max,IF(Cylinder_Size=40,T_40_Max,IF(Cylinder_Size=52,T_52_Max,IF(Cylinder_Size=67.5,T_67.5_Max,IF(Cylinder_Size=80,T_80_Max,IF(Cylinder_Size=106,T_106_Max,IF(Cylinder_Size=147,T_147_Max,IF(Cylinder_Size=180,T_180_Max,IF(Cylinder_Size=343,T_343_Max,0))))))))))))</f>
        <v>147</v>
      </c>
      <c r="P23" s="365"/>
      <c r="Q23" s="365"/>
      <c r="R23" s="366" t="s">
        <v>489</v>
      </c>
      <c r="S23" s="366"/>
    </row>
    <row r="24" spans="2:26">
      <c r="B24" s="153">
        <v>40.200000000000003</v>
      </c>
      <c r="D24" s="153"/>
      <c r="O24" s="365">
        <f>IF(Cylinder_Size=5,L_5_Max,IF(Cylinder_Size=13.4,L_13.4_Max,IF(Cylinder_Size=26.8,L_26.8_Max,IF(Cylinder_Size=40.2,L_40.2_Max,IF(Cylinder_Size=67,L_67_Max,IF(Cylinder_Size=75,L_75_Max,IF(Cylinder_Size=100,L_100_Max,IF(Cylinder_Size=120,L_120_Max,0))))))))</f>
        <v>0</v>
      </c>
      <c r="P24" s="365"/>
      <c r="Q24" s="365"/>
      <c r="R24" s="366" t="s">
        <v>490</v>
      </c>
      <c r="S24" s="366"/>
    </row>
    <row r="25" spans="2:26">
      <c r="B25" s="153">
        <v>67</v>
      </c>
      <c r="D25" s="153"/>
    </row>
    <row r="26" spans="2:26">
      <c r="B26" s="153">
        <v>75</v>
      </c>
      <c r="D26" s="153"/>
    </row>
    <row r="27" spans="2:26">
      <c r="B27" s="153">
        <v>100</v>
      </c>
      <c r="D27" s="367" t="s">
        <v>425</v>
      </c>
      <c r="E27" s="367"/>
      <c r="F27" s="367"/>
      <c r="G27" s="367"/>
      <c r="H27" s="367"/>
      <c r="I27" s="367"/>
      <c r="J27" s="367"/>
      <c r="K27" s="367"/>
      <c r="L27" s="367"/>
      <c r="M27" s="367"/>
      <c r="N27" s="367"/>
      <c r="O27" s="367"/>
    </row>
    <row r="28" spans="2:26">
      <c r="B28" s="153">
        <v>120</v>
      </c>
      <c r="D28" s="367"/>
      <c r="E28" s="367"/>
      <c r="F28" s="367"/>
      <c r="G28" s="367"/>
      <c r="H28" s="367"/>
      <c r="I28" s="367"/>
      <c r="J28" s="367"/>
      <c r="K28" s="367"/>
      <c r="L28" s="367"/>
      <c r="M28" s="367"/>
      <c r="N28" s="367"/>
      <c r="O28" s="367"/>
    </row>
    <row r="29" spans="2:26">
      <c r="D29" s="367"/>
      <c r="E29" s="367"/>
      <c r="F29" s="367"/>
      <c r="G29" s="367"/>
      <c r="H29" s="367"/>
      <c r="I29" s="367"/>
      <c r="J29" s="367"/>
      <c r="K29" s="367"/>
      <c r="L29" s="367"/>
      <c r="M29" s="367"/>
      <c r="N29" s="367"/>
      <c r="O29" s="367"/>
    </row>
    <row r="30" spans="2:26">
      <c r="D30" s="367"/>
      <c r="E30" s="367"/>
      <c r="F30" s="367"/>
      <c r="G30" s="367"/>
      <c r="H30" s="367"/>
      <c r="I30" s="367"/>
      <c r="J30" s="367"/>
      <c r="K30" s="367"/>
      <c r="L30" s="367"/>
      <c r="M30" s="367"/>
      <c r="N30" s="367"/>
      <c r="O30" s="367"/>
    </row>
    <row r="31" spans="2:26">
      <c r="D31" s="367"/>
      <c r="E31" s="367"/>
      <c r="F31" s="367"/>
      <c r="G31" s="367"/>
      <c r="H31" s="367"/>
      <c r="I31" s="367"/>
      <c r="J31" s="367"/>
      <c r="K31" s="367"/>
      <c r="L31" s="367"/>
      <c r="M31" s="367"/>
      <c r="N31" s="367"/>
      <c r="O31" s="367"/>
    </row>
    <row r="32" spans="2:26">
      <c r="D32" s="367"/>
      <c r="E32" s="367"/>
      <c r="F32" s="367"/>
      <c r="G32" s="367"/>
      <c r="H32" s="367"/>
      <c r="I32" s="367"/>
      <c r="J32" s="367"/>
      <c r="K32" s="367"/>
      <c r="L32" s="367"/>
      <c r="M32" s="367"/>
      <c r="N32" s="367"/>
      <c r="O32" s="367"/>
    </row>
    <row r="33" spans="4:15">
      <c r="D33" s="171"/>
      <c r="E33" s="171"/>
      <c r="F33" s="171"/>
      <c r="G33" s="171"/>
      <c r="H33" s="171"/>
      <c r="I33" s="171"/>
      <c r="J33" s="171"/>
      <c r="K33" s="171"/>
      <c r="L33" s="171"/>
      <c r="M33" s="171"/>
      <c r="N33" s="171"/>
      <c r="O33" s="171"/>
    </row>
    <row r="34" spans="4:15">
      <c r="D34" s="367" t="s">
        <v>426</v>
      </c>
      <c r="E34" s="367"/>
      <c r="F34" s="367"/>
      <c r="G34" s="367"/>
      <c r="H34" s="367"/>
      <c r="I34" s="367"/>
      <c r="J34" s="367"/>
      <c r="K34" s="367"/>
      <c r="L34" s="367"/>
      <c r="M34" s="367"/>
      <c r="N34" s="367"/>
      <c r="O34" s="367"/>
    </row>
    <row r="35" spans="4:15">
      <c r="D35" s="367"/>
      <c r="E35" s="367"/>
      <c r="F35" s="367"/>
      <c r="G35" s="367"/>
      <c r="H35" s="367"/>
      <c r="I35" s="367"/>
      <c r="J35" s="367"/>
      <c r="K35" s="367"/>
      <c r="L35" s="367"/>
      <c r="M35" s="367"/>
      <c r="N35" s="367"/>
      <c r="O35" s="367"/>
    </row>
    <row r="36" spans="4:15">
      <c r="D36" s="367"/>
      <c r="E36" s="367"/>
      <c r="F36" s="367"/>
      <c r="G36" s="367"/>
      <c r="H36" s="367"/>
      <c r="I36" s="367"/>
      <c r="J36" s="367"/>
      <c r="K36" s="367"/>
      <c r="L36" s="367"/>
      <c r="M36" s="367"/>
      <c r="N36" s="367"/>
      <c r="O36" s="367"/>
    </row>
    <row r="37" spans="4:15">
      <c r="D37" s="367"/>
      <c r="E37" s="367"/>
      <c r="F37" s="367"/>
      <c r="G37" s="367"/>
      <c r="H37" s="367"/>
      <c r="I37" s="367"/>
      <c r="J37" s="367"/>
      <c r="K37" s="367"/>
      <c r="L37" s="367"/>
      <c r="M37" s="367"/>
      <c r="N37" s="367"/>
      <c r="O37" s="367"/>
    </row>
    <row r="38" spans="4:15">
      <c r="D38" s="367"/>
      <c r="E38" s="367"/>
      <c r="F38" s="367"/>
      <c r="G38" s="367"/>
      <c r="H38" s="367"/>
      <c r="I38" s="367"/>
      <c r="J38" s="367"/>
      <c r="K38" s="367"/>
      <c r="L38" s="367"/>
      <c r="M38" s="367"/>
      <c r="N38" s="367"/>
      <c r="O38" s="367"/>
    </row>
    <row r="39" spans="4:15">
      <c r="D39" s="367"/>
      <c r="E39" s="367"/>
      <c r="F39" s="367"/>
      <c r="G39" s="367"/>
      <c r="H39" s="367"/>
      <c r="I39" s="367"/>
      <c r="J39" s="367"/>
      <c r="K39" s="367"/>
      <c r="L39" s="367"/>
      <c r="M39" s="367"/>
      <c r="N39" s="367"/>
      <c r="O39" s="367"/>
    </row>
  </sheetData>
  <sheetProtection password="8BE7" sheet="1" objects="1" scenarios="1"/>
  <mergeCells count="20">
    <mergeCell ref="R24:S24"/>
    <mergeCell ref="O23:Q23"/>
    <mergeCell ref="O24:Q24"/>
    <mergeCell ref="D27:O32"/>
    <mergeCell ref="D34:O39"/>
    <mergeCell ref="R13:S13"/>
    <mergeCell ref="R14:S14"/>
    <mergeCell ref="R21:S21"/>
    <mergeCell ref="R22:S22"/>
    <mergeCell ref="R23:S23"/>
    <mergeCell ref="O17:Q17"/>
    <mergeCell ref="O18:Q18"/>
    <mergeCell ref="O19:Q19"/>
    <mergeCell ref="O21:Q21"/>
    <mergeCell ref="O22:Q22"/>
    <mergeCell ref="D2:G2"/>
    <mergeCell ref="O13:Q13"/>
    <mergeCell ref="O14:Q14"/>
    <mergeCell ref="O15:Q15"/>
    <mergeCell ref="O16:Q16"/>
  </mergeCells>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8000"/>
    <pageSetUpPr fitToPage="1"/>
  </sheetPr>
  <dimension ref="A1:X90"/>
  <sheetViews>
    <sheetView showGridLines="0" view="pageBreakPreview" zoomScaleNormal="100" zoomScaleSheetLayoutView="100" workbookViewId="0">
      <pane ySplit="7" topLeftCell="A8" activePane="bottomLeft" state="frozen"/>
      <selection activeCell="P5" sqref="P5:T5"/>
      <selection pane="bottomLeft"/>
    </sheetView>
  </sheetViews>
  <sheetFormatPr defaultColWidth="9.140625" defaultRowHeight="12.75"/>
  <cols>
    <col min="1" max="1" width="6.7109375" style="200" customWidth="1"/>
    <col min="2" max="3" width="9.140625" style="200"/>
    <col min="4" max="4" width="10.28515625" style="200" bestFit="1" customWidth="1"/>
    <col min="5" max="5" width="5.7109375" style="200" customWidth="1"/>
    <col min="6" max="8" width="7.7109375" style="200" customWidth="1"/>
    <col min="9" max="9" width="10.7109375" style="200" customWidth="1"/>
    <col min="10" max="10" width="7.7109375" style="200" customWidth="1"/>
    <col min="11" max="11" width="10.7109375" style="200" customWidth="1"/>
    <col min="12" max="12" width="15.7109375" style="200" customWidth="1"/>
    <col min="13" max="13" width="9.7109375" style="200" customWidth="1"/>
    <col min="14" max="14" width="13.7109375" style="200" customWidth="1"/>
    <col min="15" max="15" width="10.7109375" style="200" customWidth="1"/>
    <col min="16" max="16" width="3.7109375" style="200" customWidth="1"/>
    <col min="17" max="17" width="11.7109375" style="200" customWidth="1"/>
    <col min="18" max="18" width="10.7109375" style="200" hidden="1" customWidth="1"/>
    <col min="19" max="19" width="8.7109375" style="200" customWidth="1"/>
    <col min="20" max="20" width="5.7109375" style="200" customWidth="1"/>
    <col min="21" max="21" width="22.7109375" style="200" customWidth="1"/>
    <col min="22" max="16384" width="9.140625" style="200"/>
  </cols>
  <sheetData>
    <row r="1" spans="1:24" ht="9.9499999999999993" customHeight="1">
      <c r="A1" s="199"/>
      <c r="B1" s="199"/>
      <c r="C1" s="199"/>
      <c r="D1" s="199"/>
      <c r="E1" s="199"/>
      <c r="F1" s="199"/>
      <c r="G1" s="199"/>
      <c r="H1" s="199"/>
      <c r="I1" s="199"/>
      <c r="J1" s="199"/>
      <c r="K1" s="199"/>
      <c r="L1" s="199"/>
      <c r="Q1" s="201" t="s">
        <v>435</v>
      </c>
      <c r="R1" s="201" t="str">
        <f>Summary!K1</f>
        <v>1396/10/22</v>
      </c>
      <c r="S1" s="201" t="str">
        <f>Summary!K1</f>
        <v>1396/10/22</v>
      </c>
    </row>
    <row r="2" spans="1:24" ht="9.9499999999999993" customHeight="1">
      <c r="A2" s="199"/>
      <c r="B2" s="199"/>
      <c r="C2" s="199"/>
      <c r="D2" s="199"/>
      <c r="E2" s="199"/>
      <c r="F2" s="199"/>
      <c r="G2" s="199"/>
      <c r="H2" s="199"/>
      <c r="I2" s="199"/>
      <c r="J2" s="199"/>
      <c r="K2" s="199"/>
      <c r="L2" s="199"/>
      <c r="Q2" s="201" t="s">
        <v>436</v>
      </c>
      <c r="R2" s="201">
        <f>Summary!K2</f>
        <v>38.299999999999997</v>
      </c>
      <c r="S2" s="201">
        <f>Summary!K2</f>
        <v>38.299999999999997</v>
      </c>
    </row>
    <row r="3" spans="1:24" ht="9.9499999999999993" customHeight="1">
      <c r="A3" s="199"/>
      <c r="B3" s="199"/>
      <c r="C3" s="199"/>
      <c r="D3" s="199"/>
      <c r="E3" s="199"/>
      <c r="F3" s="199"/>
      <c r="G3" s="199"/>
      <c r="H3" s="199"/>
      <c r="I3" s="199"/>
      <c r="J3" s="199"/>
      <c r="K3" s="199"/>
      <c r="L3" s="199"/>
      <c r="Q3" s="227" t="s">
        <v>437</v>
      </c>
      <c r="R3" s="227"/>
      <c r="S3" s="316"/>
    </row>
    <row r="4" spans="1:24" s="203" customFormat="1" ht="30" customHeight="1">
      <c r="A4" s="393" t="s">
        <v>299</v>
      </c>
      <c r="B4" s="393"/>
      <c r="C4" s="393"/>
      <c r="D4" s="393"/>
      <c r="E4" s="393"/>
      <c r="F4" s="393"/>
      <c r="G4" s="393"/>
      <c r="H4" s="393"/>
      <c r="I4" s="393"/>
      <c r="J4" s="393"/>
      <c r="K4" s="393"/>
      <c r="L4" s="393"/>
      <c r="M4" s="393"/>
      <c r="N4" s="393"/>
      <c r="O4" s="393"/>
      <c r="P4" s="393"/>
      <c r="Q4" s="393"/>
      <c r="R4" s="393"/>
      <c r="S4" s="393"/>
      <c r="T4" s="228"/>
      <c r="U4" s="396" t="s">
        <v>448</v>
      </c>
      <c r="V4" s="396"/>
      <c r="W4" s="396"/>
      <c r="X4" s="396"/>
    </row>
    <row r="5" spans="1:24" s="203" customFormat="1" ht="20.100000000000001" customHeight="1">
      <c r="A5" s="394" t="s">
        <v>277</v>
      </c>
      <c r="B5" s="394"/>
      <c r="C5" s="394"/>
      <c r="D5" s="394"/>
      <c r="E5" s="394"/>
      <c r="F5" s="394"/>
      <c r="G5" s="394"/>
      <c r="H5" s="394"/>
      <c r="I5" s="394"/>
      <c r="J5" s="394"/>
      <c r="K5" s="394"/>
      <c r="L5" s="394"/>
      <c r="M5" s="394"/>
      <c r="N5" s="394"/>
      <c r="O5" s="394"/>
      <c r="P5" s="394"/>
      <c r="Q5" s="394"/>
      <c r="R5" s="394"/>
      <c r="S5" s="394"/>
      <c r="T5" s="229"/>
      <c r="U5" s="396" t="s">
        <v>449</v>
      </c>
      <c r="V5" s="396"/>
      <c r="W5" s="396"/>
      <c r="X5" s="396"/>
    </row>
    <row r="6" spans="1:24" s="208" customFormat="1" ht="30" customHeight="1">
      <c r="A6" s="395" t="str">
        <f>Project.Name</f>
        <v>Insert Project Name</v>
      </c>
      <c r="B6" s="395"/>
      <c r="C6" s="395"/>
      <c r="D6" s="395"/>
      <c r="E6" s="395"/>
      <c r="F6" s="395"/>
      <c r="G6" s="395"/>
      <c r="H6" s="395"/>
      <c r="I6" s="395"/>
      <c r="J6" s="395"/>
      <c r="K6" s="395"/>
      <c r="L6" s="395"/>
      <c r="M6" s="395"/>
      <c r="N6" s="395"/>
      <c r="O6" s="395"/>
      <c r="P6" s="395"/>
      <c r="Q6" s="395"/>
      <c r="R6" s="395"/>
      <c r="S6" s="395"/>
      <c r="T6" s="230"/>
    </row>
    <row r="9" spans="1:24" ht="20.100000000000001" customHeight="1">
      <c r="A9" s="402" t="s">
        <v>450</v>
      </c>
      <c r="B9" s="402"/>
      <c r="C9" s="402"/>
      <c r="D9" s="402"/>
      <c r="E9" s="403" t="s">
        <v>468</v>
      </c>
      <c r="F9" s="404"/>
      <c r="I9" s="407"/>
      <c r="J9" s="407"/>
      <c r="K9" s="407"/>
      <c r="L9" s="407"/>
      <c r="M9" s="407"/>
      <c r="N9" s="407"/>
      <c r="O9" s="407"/>
      <c r="P9" s="407"/>
    </row>
    <row r="10" spans="1:24" ht="12" customHeight="1">
      <c r="E10" s="326">
        <f>IF(E9="NFPA 2001",1,IF(E9="ISO 14520 - 9",2,IF(E9="fm",3,IF(E9="vds 2381",4,IF(E9="EN 15004 - 5",5,0)))))</f>
        <v>1</v>
      </c>
    </row>
    <row r="11" spans="1:24" ht="20.100000000000001" customHeight="1">
      <c r="A11" s="402" t="s">
        <v>451</v>
      </c>
      <c r="B11" s="402"/>
      <c r="C11" s="402"/>
      <c r="D11" s="402"/>
      <c r="E11" s="408" t="s">
        <v>467</v>
      </c>
      <c r="F11" s="408"/>
      <c r="G11" s="221"/>
      <c r="I11" s="409" t="s">
        <v>536</v>
      </c>
      <c r="J11" s="410"/>
      <c r="K11" s="410"/>
      <c r="L11" s="410"/>
      <c r="M11" s="410"/>
      <c r="N11" s="410"/>
      <c r="O11" s="410"/>
      <c r="P11" s="410"/>
      <c r="Q11" s="411"/>
      <c r="R11" s="224"/>
      <c r="S11" s="313"/>
      <c r="T11" s="224"/>
    </row>
    <row r="12" spans="1:24" ht="12" customHeight="1">
      <c r="I12" s="412"/>
      <c r="J12" s="413"/>
      <c r="K12" s="413"/>
      <c r="L12" s="413"/>
      <c r="M12" s="413"/>
      <c r="N12" s="413"/>
      <c r="O12" s="413"/>
      <c r="P12" s="413"/>
      <c r="Q12" s="414"/>
      <c r="R12" s="224"/>
      <c r="S12" s="313"/>
      <c r="T12" s="224"/>
    </row>
    <row r="13" spans="1:24" ht="20.100000000000001" customHeight="1">
      <c r="A13" s="385" t="s">
        <v>466</v>
      </c>
      <c r="B13" s="386"/>
      <c r="C13" s="386"/>
      <c r="D13" s="386"/>
      <c r="E13" s="405" t="s">
        <v>411</v>
      </c>
      <c r="F13" s="406"/>
      <c r="I13" s="462" t="str">
        <f>IF(E14=1,"NFPA 1, 3.3.102.1: Class A fires are fires in ordinary ombustible materials, such as wood, cloth, paper, rubber, and many plastics.",IF(E14=2,"NFPA 1, 3.3.102.2: Class B fires are fires in flammable liquids, combustible liquids, petroleum greases, tars, oils, oil-based paints, solvents, lacquers, alcohols, and flammable gases.",IF(E14=3,"NFPA 1, 3.3.102.3: Class C fires are fires that involve energized electrical equipment.","ERROR")))</f>
        <v>NFPA 1, 3.3.102.3: Class C fires are fires that involve energized electrical equipment.</v>
      </c>
      <c r="J13" s="462"/>
      <c r="K13" s="462"/>
      <c r="L13" s="462"/>
      <c r="M13" s="462"/>
      <c r="N13" s="462"/>
      <c r="O13" s="462"/>
      <c r="P13" s="462"/>
      <c r="Q13" s="462"/>
    </row>
    <row r="14" spans="1:24" ht="12" customHeight="1">
      <c r="E14" s="312">
        <f>IF(E13="A",1,IF(E13="B",2,IF(E13="C",3,0)))</f>
        <v>3</v>
      </c>
      <c r="I14" s="462"/>
      <c r="J14" s="462"/>
      <c r="K14" s="462"/>
      <c r="L14" s="462"/>
      <c r="M14" s="462"/>
      <c r="N14" s="462"/>
      <c r="O14" s="462"/>
      <c r="P14" s="462"/>
      <c r="Q14" s="462"/>
    </row>
    <row r="15" spans="1:24" ht="20.100000000000001" customHeight="1">
      <c r="A15" s="385" t="s">
        <v>471</v>
      </c>
      <c r="B15" s="386"/>
      <c r="C15" s="386"/>
      <c r="D15" s="386"/>
      <c r="E15" s="398">
        <f>IF(E10=1,M.D.C_NFPA,IF(E10=2,M.D.C_ISO,IF(E10=3,M.D.C_FM,IF(E10=4,M.D.C_Vds,IF(E10=5,M.D.C_EN,"UnValid Regulation")))))</f>
        <v>7</v>
      </c>
      <c r="F15" s="398"/>
      <c r="G15" s="200" t="s">
        <v>14</v>
      </c>
      <c r="I15" s="401" t="s">
        <v>534</v>
      </c>
      <c r="J15" s="401"/>
      <c r="K15" s="401"/>
      <c r="L15" s="240"/>
      <c r="M15" s="399" t="s">
        <v>472</v>
      </c>
      <c r="N15" s="400"/>
      <c r="O15" s="464"/>
      <c r="P15" s="465"/>
      <c r="Q15" s="465"/>
      <c r="R15" s="465"/>
      <c r="S15" s="465"/>
      <c r="T15" s="224"/>
    </row>
    <row r="16" spans="1:24" ht="9.9499999999999993" customHeight="1">
      <c r="I16" s="240"/>
      <c r="J16" s="240"/>
      <c r="K16" s="240"/>
      <c r="L16" s="240"/>
      <c r="M16" s="240"/>
      <c r="N16" s="240"/>
      <c r="O16" s="240"/>
      <c r="P16" s="240"/>
    </row>
    <row r="17" spans="1:21" ht="15" customHeight="1">
      <c r="B17" s="463" t="str">
        <f>IF(E10=0,"Please Enter Valid Regulation NFPA, ISO, FM or Vds",'raw data'!E8)</f>
        <v>According to NFPA 2001 (2015 Edition)(Table A.5.4.2.2 (b)) Minimum 7 % Design Concentration is Recommend for Class C of Fires</v>
      </c>
      <c r="C17" s="463"/>
      <c r="D17" s="463"/>
      <c r="E17" s="463"/>
      <c r="F17" s="463"/>
      <c r="G17" s="463"/>
      <c r="H17" s="463"/>
      <c r="I17" s="463"/>
      <c r="J17" s="463"/>
      <c r="K17" s="463"/>
      <c r="L17" s="463"/>
      <c r="M17" s="463"/>
      <c r="N17" s="463"/>
      <c r="O17" s="463"/>
      <c r="P17" s="463"/>
      <c r="Q17" s="463"/>
    </row>
    <row r="18" spans="1:21" ht="9.9499999999999993" customHeight="1">
      <c r="I18" s="222"/>
      <c r="J18" s="222"/>
      <c r="K18" s="222"/>
      <c r="L18" s="222"/>
      <c r="M18" s="222"/>
      <c r="N18" s="222"/>
      <c r="O18" s="222"/>
      <c r="P18" s="222"/>
    </row>
    <row r="19" spans="1:21" ht="20.100000000000001" customHeight="1">
      <c r="A19" s="385" t="s">
        <v>473</v>
      </c>
      <c r="B19" s="386"/>
      <c r="C19" s="386"/>
      <c r="D19" s="386"/>
      <c r="E19" s="397">
        <v>7</v>
      </c>
      <c r="F19" s="397"/>
      <c r="G19" s="200" t="s">
        <v>14</v>
      </c>
      <c r="I19" s="222"/>
      <c r="J19" s="222"/>
      <c r="K19" s="222"/>
      <c r="L19" s="222"/>
      <c r="O19" s="222"/>
      <c r="P19" s="222"/>
      <c r="Q19" s="222"/>
      <c r="R19" s="224"/>
      <c r="S19" s="313"/>
      <c r="T19" s="224"/>
    </row>
    <row r="20" spans="1:21" ht="14.1" customHeight="1"/>
    <row r="21" spans="1:21" ht="20.100000000000001" customHeight="1">
      <c r="A21" s="385" t="s">
        <v>521</v>
      </c>
      <c r="B21" s="386"/>
      <c r="C21" s="386"/>
      <c r="D21" s="386"/>
      <c r="E21" s="398">
        <f>IF(E19&lt;E15,E15,E19)</f>
        <v>7</v>
      </c>
      <c r="F21" s="398"/>
      <c r="G21" s="200" t="s">
        <v>14</v>
      </c>
      <c r="I21" s="401" t="str">
        <f>IF(E19&lt;E15,"Your desirable M.D.C is less then Selected Standard Recommandation, Calculated M.D.C. set on Standard M.D.C. Automatically","Your Inserted M.D.C Used for Calculation" )</f>
        <v>Your Inserted M.D.C Used for Calculation</v>
      </c>
      <c r="J21" s="401"/>
      <c r="K21" s="401"/>
      <c r="L21" s="401"/>
      <c r="M21" s="401"/>
      <c r="N21" s="401"/>
      <c r="O21" s="401"/>
      <c r="P21" s="401"/>
    </row>
    <row r="22" spans="1:21" ht="12" customHeight="1">
      <c r="I22" s="401"/>
      <c r="J22" s="401"/>
      <c r="K22" s="401"/>
      <c r="L22" s="401"/>
      <c r="M22" s="401"/>
      <c r="N22" s="401"/>
      <c r="O22" s="401"/>
      <c r="P22" s="401"/>
    </row>
    <row r="23" spans="1:21" ht="12" customHeight="1">
      <c r="I23" s="222"/>
      <c r="J23" s="222"/>
      <c r="K23" s="222"/>
      <c r="L23" s="222"/>
      <c r="M23" s="222"/>
      <c r="N23" s="222"/>
      <c r="O23" s="222"/>
      <c r="P23" s="222"/>
    </row>
    <row r="24" spans="1:21" ht="20.100000000000001" customHeight="1">
      <c r="A24" s="434" t="s">
        <v>515</v>
      </c>
      <c r="B24" s="435"/>
      <c r="C24" s="435"/>
      <c r="D24" s="436"/>
      <c r="E24" s="371">
        <v>18</v>
      </c>
      <c r="F24" s="371"/>
      <c r="G24" s="58" t="s">
        <v>292</v>
      </c>
      <c r="I24" s="222"/>
      <c r="J24" s="222"/>
      <c r="K24" s="222"/>
      <c r="L24" s="222"/>
      <c r="M24" s="372" t="s">
        <v>474</v>
      </c>
      <c r="N24" s="372"/>
      <c r="O24" s="372"/>
      <c r="P24" s="437">
        <f>0.1269+0.0005131*Temp._Min.</f>
        <v>0.1361358</v>
      </c>
      <c r="Q24" s="438"/>
      <c r="R24" s="74" t="s">
        <v>291</v>
      </c>
      <c r="S24" s="74"/>
      <c r="T24" s="74"/>
    </row>
    <row r="25" spans="1:21" ht="12" customHeight="1">
      <c r="I25" s="222"/>
      <c r="J25" s="222"/>
      <c r="K25" s="222"/>
      <c r="L25" s="222"/>
      <c r="M25" s="224"/>
      <c r="N25" s="224"/>
      <c r="O25" s="224"/>
      <c r="P25" s="222"/>
    </row>
    <row r="26" spans="1:21" ht="20.100000000000001" customHeight="1">
      <c r="A26" s="385" t="s">
        <v>516</v>
      </c>
      <c r="B26" s="386"/>
      <c r="C26" s="386"/>
      <c r="D26" s="386"/>
      <c r="E26" s="371">
        <v>28</v>
      </c>
      <c r="F26" s="371"/>
      <c r="G26" s="58" t="s">
        <v>292</v>
      </c>
      <c r="I26" s="222"/>
      <c r="J26" s="222"/>
      <c r="K26" s="222"/>
      <c r="L26" s="222"/>
      <c r="M26" s="372" t="s">
        <v>475</v>
      </c>
      <c r="N26" s="372"/>
      <c r="O26" s="372"/>
      <c r="P26" s="437">
        <f>0.1269+0.0005131*Temp._Max.</f>
        <v>0.14126680000000003</v>
      </c>
      <c r="Q26" s="438"/>
      <c r="R26" s="74" t="s">
        <v>291</v>
      </c>
      <c r="S26" s="74" t="s">
        <v>291</v>
      </c>
      <c r="T26" s="74"/>
    </row>
    <row r="27" spans="1:21" ht="12" customHeight="1">
      <c r="M27" s="302"/>
      <c r="N27" s="302"/>
      <c r="O27" s="302"/>
    </row>
    <row r="28" spans="1:21" ht="20.100000000000001" customHeight="1">
      <c r="M28" s="372" t="s">
        <v>509</v>
      </c>
      <c r="N28" s="372"/>
      <c r="O28" s="372"/>
      <c r="P28" s="437">
        <f>'NFPA S.V.V'!P8</f>
        <v>0.13730000000000001</v>
      </c>
      <c r="Q28" s="438"/>
      <c r="R28" s="74" t="s">
        <v>291</v>
      </c>
      <c r="S28" s="74" t="s">
        <v>291</v>
      </c>
    </row>
    <row r="29" spans="1:21" ht="12" customHeight="1"/>
    <row r="30" spans="1:21" ht="20.100000000000001" customHeight="1">
      <c r="A30" s="385" t="s">
        <v>539</v>
      </c>
      <c r="B30" s="386"/>
      <c r="C30" s="386"/>
      <c r="D30" s="387"/>
      <c r="E30" s="442">
        <v>3</v>
      </c>
      <c r="F30" s="443"/>
      <c r="M30" s="444" t="s">
        <v>452</v>
      </c>
      <c r="N30" s="445"/>
      <c r="O30" s="209">
        <f>IF(Number_of_Hazard=1,Total.Volume.1,IF(Number_of_Hazard=2,Total.Volume.1+Total.Volume.2,IF(Number_of_Hazard=3,Total.Volume.1+Total.Volume.2+Total.Volume.3,IF(Number_of_Hazard=4,Total.Volume.1+Total.Volume.2+Total.Volume.3+Total.Volume.4,IF(Number_of_Hazard=5,Total.Volume.1+Total.Volume.2+Total.Volume.3+Total.Volume.4+Total.Volume.5,0)))))</f>
        <v>190</v>
      </c>
      <c r="P30" s="210" t="s">
        <v>453</v>
      </c>
    </row>
    <row r="31" spans="1:21">
      <c r="M31" s="211"/>
      <c r="N31" s="211"/>
      <c r="O31" s="211"/>
      <c r="P31" s="211"/>
      <c r="U31" s="200" t="s">
        <v>531</v>
      </c>
    </row>
    <row r="33" spans="1:21" ht="15" customHeight="1">
      <c r="A33" s="439" t="s">
        <v>540</v>
      </c>
      <c r="B33" s="446" t="s">
        <v>455</v>
      </c>
      <c r="C33" s="447"/>
      <c r="D33" s="447"/>
      <c r="E33" s="448"/>
      <c r="F33" s="455" t="s">
        <v>13</v>
      </c>
      <c r="G33" s="455" t="s">
        <v>0</v>
      </c>
      <c r="H33" s="455" t="s">
        <v>1</v>
      </c>
      <c r="I33" s="374" t="s">
        <v>29</v>
      </c>
      <c r="J33" s="374" t="s">
        <v>533</v>
      </c>
      <c r="K33" s="374" t="s">
        <v>532</v>
      </c>
      <c r="L33" s="374" t="s">
        <v>456</v>
      </c>
      <c r="M33" s="374" t="s">
        <v>452</v>
      </c>
      <c r="N33" s="374" t="s">
        <v>476</v>
      </c>
      <c r="O33" s="374" t="s">
        <v>457</v>
      </c>
      <c r="P33" s="470" t="s">
        <v>538</v>
      </c>
      <c r="Q33" s="471"/>
      <c r="R33" s="374" t="s">
        <v>519</v>
      </c>
      <c r="T33" s="286"/>
      <c r="U33" s="368" t="s">
        <v>518</v>
      </c>
    </row>
    <row r="34" spans="1:21" ht="15" customHeight="1">
      <c r="A34" s="440"/>
      <c r="B34" s="449"/>
      <c r="C34" s="450"/>
      <c r="D34" s="450"/>
      <c r="E34" s="451"/>
      <c r="F34" s="455"/>
      <c r="G34" s="455"/>
      <c r="H34" s="455"/>
      <c r="I34" s="375"/>
      <c r="J34" s="375"/>
      <c r="K34" s="375"/>
      <c r="L34" s="375"/>
      <c r="M34" s="375"/>
      <c r="N34" s="376"/>
      <c r="O34" s="375"/>
      <c r="P34" s="472"/>
      <c r="Q34" s="473"/>
      <c r="R34" s="375"/>
      <c r="T34" s="253"/>
      <c r="U34" s="369"/>
    </row>
    <row r="35" spans="1:21" ht="15">
      <c r="A35" s="441"/>
      <c r="B35" s="452"/>
      <c r="C35" s="453"/>
      <c r="D35" s="453"/>
      <c r="E35" s="454"/>
      <c r="F35" s="212" t="s">
        <v>11</v>
      </c>
      <c r="G35" s="212" t="s">
        <v>11</v>
      </c>
      <c r="H35" s="212" t="s">
        <v>11</v>
      </c>
      <c r="I35" s="212" t="s">
        <v>459</v>
      </c>
      <c r="J35" s="212" t="s">
        <v>459</v>
      </c>
      <c r="K35" s="212" t="s">
        <v>460</v>
      </c>
      <c r="L35" s="212" t="s">
        <v>460</v>
      </c>
      <c r="M35" s="212" t="s">
        <v>460</v>
      </c>
      <c r="N35" s="212" t="s">
        <v>14</v>
      </c>
      <c r="O35" s="212" t="s">
        <v>349</v>
      </c>
      <c r="P35" s="474" t="s">
        <v>349</v>
      </c>
      <c r="Q35" s="475"/>
      <c r="R35" s="212" t="s">
        <v>349</v>
      </c>
      <c r="T35" s="96"/>
      <c r="U35" s="212" t="s">
        <v>14</v>
      </c>
    </row>
    <row r="36" spans="1:21" ht="24.95" customHeight="1">
      <c r="A36" s="213">
        <v>1</v>
      </c>
      <c r="B36" s="373" t="s">
        <v>461</v>
      </c>
      <c r="C36" s="373"/>
      <c r="D36" s="373"/>
      <c r="E36" s="373"/>
      <c r="F36" s="214">
        <v>10</v>
      </c>
      <c r="G36" s="214">
        <v>5</v>
      </c>
      <c r="H36" s="214">
        <v>3</v>
      </c>
      <c r="I36" s="209">
        <f>IF(Number_of_Hazard&gt;=1,2*((F36*G36)+(F36*H36)+(G36*H36)),0)</f>
        <v>190</v>
      </c>
      <c r="J36" s="209">
        <f>IF(Number_of_Hazard&gt;=1,F36*G36,0)</f>
        <v>50</v>
      </c>
      <c r="K36" s="209">
        <f>IF(Number_of_Hazard&gt;=1,F36*G36*H36,0)</f>
        <v>150</v>
      </c>
      <c r="L36" s="214">
        <v>0</v>
      </c>
      <c r="M36" s="209">
        <f>K36-L36</f>
        <v>150</v>
      </c>
      <c r="N36" s="215">
        <f>IF(Number_of_Hazard&gt;=1,(Total.Volume.1/Total.Volume),0)</f>
        <v>0.78947368421052633</v>
      </c>
      <c r="O36" s="209">
        <f>IF(Temp._Min.&lt;-15,0,((Total.Volume.1/S.V.V._Min.)*(M.D.C./(100-M.D.C.))))</f>
        <v>82.934265495521103</v>
      </c>
      <c r="P36" s="377">
        <f>Total_Agent*Volume_01_percent</f>
        <v>77.368421052631575</v>
      </c>
      <c r="Q36" s="378"/>
      <c r="R36" s="209">
        <f>Total.Volume.1*'NFPA S.V.V'!P10*Altitude_Correction_Factors</f>
        <v>77.216400000000007</v>
      </c>
      <c r="S36" s="315">
        <f>IF(Total.Volume.1&gt;0,IF(Volume_01_percent&lt;0.1,1,0),0)</f>
        <v>0</v>
      </c>
      <c r="T36" s="287"/>
      <c r="U36" s="318">
        <f>(100*P36*S.V.V._Max.)/(Altitude_Correction_Factors*Total.Volume.1+S.V.V._Max.*O36)</f>
        <v>7.5264433177894956</v>
      </c>
    </row>
    <row r="37" spans="1:21" ht="24.95" customHeight="1">
      <c r="A37" s="213">
        <v>2</v>
      </c>
      <c r="B37" s="373" t="s">
        <v>462</v>
      </c>
      <c r="C37" s="373"/>
      <c r="D37" s="373"/>
      <c r="E37" s="373"/>
      <c r="F37" s="214">
        <v>10</v>
      </c>
      <c r="G37" s="214">
        <v>5</v>
      </c>
      <c r="H37" s="214">
        <v>0.4</v>
      </c>
      <c r="I37" s="209">
        <f>IF(Number_of_Hazard&gt;=2,2*((F37*G37)+(F37*H37)+(G37*H37)),0)</f>
        <v>112</v>
      </c>
      <c r="J37" s="209">
        <f>IF(Number_of_Hazard&gt;=2,F37*G37,0)</f>
        <v>50</v>
      </c>
      <c r="K37" s="209">
        <f>IF(Number_of_Hazard&gt;=2,F37*G37*H37,0)</f>
        <v>20</v>
      </c>
      <c r="L37" s="214">
        <v>0</v>
      </c>
      <c r="M37" s="209">
        <f t="shared" ref="M37:M40" si="0">K37-L37</f>
        <v>20</v>
      </c>
      <c r="N37" s="215">
        <f>IF(Number_of_Hazard&gt;=2,(Total.Volume.2/Total.Volume),0)</f>
        <v>0.10526315789473684</v>
      </c>
      <c r="O37" s="209">
        <f>IF(Temp._Min.&lt;-15,0,((Total.Volume.2/S.V.V._Min.)*(M.D.C./(100-M.D.C.))))</f>
        <v>11.057902066069481</v>
      </c>
      <c r="P37" s="377">
        <f>Total_Agent*Volume_02_percent</f>
        <v>10.315789473684211</v>
      </c>
      <c r="Q37" s="378"/>
      <c r="R37" s="209">
        <f>Total.Volume.2*'NFPA S.V.V'!P10*Altitude_Correction_Factors</f>
        <v>10.295520000000002</v>
      </c>
      <c r="S37" s="315">
        <f>IF(Total.Volume.2&gt;0,IF(Volume_02_percent&lt;0.1,1,0),0)</f>
        <v>0</v>
      </c>
      <c r="T37" s="287"/>
      <c r="U37" s="318">
        <f>(100*P37*S.V.V._Max.)/(Altitude_Correction_Factors*Total.Volume.2+S.V.V._Max.*O37)</f>
        <v>7.5264433177894974</v>
      </c>
    </row>
    <row r="38" spans="1:21" ht="24.95" customHeight="1">
      <c r="A38" s="213">
        <v>3</v>
      </c>
      <c r="B38" s="373" t="s">
        <v>463</v>
      </c>
      <c r="C38" s="373"/>
      <c r="D38" s="373"/>
      <c r="E38" s="373"/>
      <c r="F38" s="214">
        <v>10</v>
      </c>
      <c r="G38" s="214">
        <v>5</v>
      </c>
      <c r="H38" s="214">
        <v>0.4</v>
      </c>
      <c r="I38" s="209">
        <f>IF(Number_of_Hazard&gt;=3,2*((F38*G38)+(F38*H38)+(G38*H38)),0)</f>
        <v>112</v>
      </c>
      <c r="J38" s="209">
        <f>IF(Number_of_Hazard&gt;=3,F38*G38,0)</f>
        <v>50</v>
      </c>
      <c r="K38" s="209">
        <f>IF(Number_of_Hazard&gt;=3,F38*G38*H38,0)</f>
        <v>20</v>
      </c>
      <c r="L38" s="214">
        <v>0</v>
      </c>
      <c r="M38" s="209">
        <f t="shared" si="0"/>
        <v>20</v>
      </c>
      <c r="N38" s="215">
        <f>IF(Number_of_Hazard&gt;=3,(Total.Volume.3/Total.Volume),0)</f>
        <v>0.10526315789473684</v>
      </c>
      <c r="O38" s="209">
        <f>IF(Temp._Min.&lt;-15,0,((Total.Volume.3/S.V.V._Min.)*(M.D.C./(100-M.D.C.))))</f>
        <v>11.057902066069481</v>
      </c>
      <c r="P38" s="377">
        <f>Total_Agent*Volume_03_percent</f>
        <v>10.315789473684211</v>
      </c>
      <c r="Q38" s="378"/>
      <c r="R38" s="209">
        <f>Total.Volume.3*'NFPA S.V.V'!P10*Altitude_Correction_Factors</f>
        <v>10.295520000000002</v>
      </c>
      <c r="S38" s="315">
        <f>IF(Total.Volume.3&gt;0,IF(Volume_03_percent&lt;0.1,1,0),0)</f>
        <v>0</v>
      </c>
      <c r="T38" s="287"/>
      <c r="U38" s="318">
        <f>(100*P38*S.V.V._Max.)/(Altitude_Correction_Factors*Total.Volume.3+S.V.V._Max.*P38)</f>
        <v>7.5674169807709148</v>
      </c>
    </row>
    <row r="39" spans="1:21" ht="24.95" customHeight="1">
      <c r="A39" s="213"/>
      <c r="B39" s="373"/>
      <c r="C39" s="373"/>
      <c r="D39" s="373"/>
      <c r="E39" s="373"/>
      <c r="F39" s="214"/>
      <c r="G39" s="214"/>
      <c r="H39" s="214"/>
      <c r="I39" s="209">
        <f>IF(Number_of_Hazard&gt;=4,2*((F39*G39)+(F39*H39)+(G39*H39)),0)</f>
        <v>0</v>
      </c>
      <c r="J39" s="209">
        <f>IF(Number_of_Hazard&gt;=4,F39*G39,0)</f>
        <v>0</v>
      </c>
      <c r="K39" s="209">
        <f>IF(Number_of_Hazard&gt;=4,F39*G39*H39,0)</f>
        <v>0</v>
      </c>
      <c r="L39" s="214">
        <v>0</v>
      </c>
      <c r="M39" s="209">
        <f t="shared" si="0"/>
        <v>0</v>
      </c>
      <c r="N39" s="215">
        <f>IF(Number_of_Hazard&gt;=4,(Total.Volume.4/Total.Volume),0)</f>
        <v>0</v>
      </c>
      <c r="O39" s="209">
        <f>IF(Temp._Min.&lt;-15,0,((Total.Volume.4/S.V.V._Min.)*(M.D.C./(100-M.D.C.))))</f>
        <v>0</v>
      </c>
      <c r="P39" s="377">
        <f>Total_Agent*Volume_04_percent</f>
        <v>0</v>
      </c>
      <c r="Q39" s="378"/>
      <c r="R39" s="209">
        <f>Total.Volume.4*'NFPA S.V.V'!P10*Altitude_Correction_Factors</f>
        <v>0</v>
      </c>
      <c r="S39" s="315">
        <f>IF(Total.Volume.4&gt;0,IF(Volume_04_percent&lt;0.1,1,0),0)</f>
        <v>0</v>
      </c>
      <c r="T39" s="287"/>
      <c r="U39" s="318" t="e">
        <f>(100*P39*S.V.V._Max.)/(Altitude_Correction_Factors*Total.Volume.4+S.V.V._Max.*P39)</f>
        <v>#DIV/0!</v>
      </c>
    </row>
    <row r="40" spans="1:21" ht="24.95" customHeight="1">
      <c r="A40" s="213"/>
      <c r="B40" s="373"/>
      <c r="C40" s="373"/>
      <c r="D40" s="373"/>
      <c r="E40" s="373"/>
      <c r="F40" s="214"/>
      <c r="G40" s="214"/>
      <c r="H40" s="214"/>
      <c r="I40" s="209">
        <f>IF(Number_of_Hazard&gt;=5,2*((F40*G40)+(F40*H40)+(G40*H40)),0)</f>
        <v>0</v>
      </c>
      <c r="J40" s="209">
        <f>IF(Number_of_Hazard&gt;=5,F40*G40,0)</f>
        <v>0</v>
      </c>
      <c r="K40" s="209">
        <f>IF(Number_of_Hazard&gt;=5,F40*G40*H40,0)</f>
        <v>0</v>
      </c>
      <c r="L40" s="214">
        <v>0</v>
      </c>
      <c r="M40" s="209">
        <f t="shared" si="0"/>
        <v>0</v>
      </c>
      <c r="N40" s="215">
        <f>IF(Number_of_Hazard&gt;=5,(Total.Volume.5/Total.Volume),0)</f>
        <v>0</v>
      </c>
      <c r="O40" s="209">
        <f>IF(Temp._Min.&lt;-15,0,((Total.Volume.5/S.V.V._Min.)*(M.D.C./(100-M.D.C.))))</f>
        <v>0</v>
      </c>
      <c r="P40" s="377">
        <f>Total_Agent*Volume_05_percent</f>
        <v>0</v>
      </c>
      <c r="Q40" s="378"/>
      <c r="R40" s="209">
        <f>Total.Volume.5*'NFPA S.V.V'!P10*Altitude_Correction_Factors</f>
        <v>0</v>
      </c>
      <c r="S40" s="315">
        <f>IF(Total.Volume.5&gt;0,IF(Volume_05_percent&lt;0.1,1,0),0)</f>
        <v>0</v>
      </c>
      <c r="T40" s="287"/>
      <c r="U40" s="318" t="e">
        <f>(100*P40*S.V.V._Max.)/(Altitude_Correction_Factors*Total.Volume.5+S.V.V._Max.*P40)</f>
        <v>#DIV/0!</v>
      </c>
    </row>
    <row r="42" spans="1:21">
      <c r="Q42" s="317"/>
      <c r="R42" s="317">
        <f>SUM(Q36:R40)</f>
        <v>97.80744</v>
      </c>
    </row>
    <row r="43" spans="1:21" ht="20.100000000000001" customHeight="1">
      <c r="H43" s="216"/>
      <c r="I43" s="216"/>
      <c r="J43" s="216"/>
      <c r="L43" s="216" t="s">
        <v>464</v>
      </c>
      <c r="M43" s="268" t="s">
        <v>465</v>
      </c>
      <c r="N43" s="269"/>
      <c r="O43" s="303">
        <f>SUM(O36:O40)</f>
        <v>105.05006962766006</v>
      </c>
      <c r="P43" s="305" t="s">
        <v>349</v>
      </c>
      <c r="Q43" s="304"/>
      <c r="T43" s="226"/>
    </row>
    <row r="44" spans="1:21">
      <c r="H44" s="216"/>
      <c r="I44" s="216"/>
      <c r="J44" s="216"/>
      <c r="L44" s="216"/>
      <c r="M44" s="216"/>
      <c r="N44" s="216"/>
      <c r="O44" s="216"/>
      <c r="P44" s="216"/>
      <c r="Q44" s="216"/>
      <c r="R44" s="216"/>
      <c r="S44" s="216"/>
      <c r="T44" s="216"/>
    </row>
    <row r="46" spans="1:21" ht="20.100000000000001" customHeight="1">
      <c r="A46" s="385" t="s">
        <v>138</v>
      </c>
      <c r="B46" s="386"/>
      <c r="C46" s="386"/>
      <c r="D46" s="387"/>
      <c r="E46" s="388">
        <v>1200</v>
      </c>
      <c r="F46" s="388"/>
      <c r="G46" s="218" t="s">
        <v>11</v>
      </c>
      <c r="H46" s="219" t="e">
        <f>IF(OR(Temp&lt;-18,Temp&gt;93),1,0)</f>
        <v>#NAME?</v>
      </c>
      <c r="I46" s="216"/>
      <c r="J46" s="216"/>
      <c r="K46" s="216"/>
      <c r="N46" s="389" t="s">
        <v>478</v>
      </c>
      <c r="O46" s="390"/>
      <c r="P46" s="381">
        <f>Altitude_Correction_Factors</f>
        <v>0.89</v>
      </c>
      <c r="Q46" s="382"/>
      <c r="R46" s="226" t="s">
        <v>349</v>
      </c>
      <c r="S46" s="226" t="s">
        <v>349</v>
      </c>
      <c r="T46" s="226"/>
    </row>
    <row r="47" spans="1:21">
      <c r="H47" s="216"/>
      <c r="I47" s="216"/>
      <c r="J47" s="216"/>
      <c r="K47" s="216"/>
      <c r="L47" s="216"/>
      <c r="M47" s="216"/>
      <c r="N47" s="216"/>
      <c r="O47" s="216"/>
      <c r="P47" s="216"/>
      <c r="Q47" s="216"/>
      <c r="R47" s="216"/>
      <c r="S47" s="216"/>
      <c r="T47" s="216"/>
    </row>
    <row r="48" spans="1:21" ht="15" customHeight="1">
      <c r="B48" s="461" t="s">
        <v>535</v>
      </c>
      <c r="C48" s="461"/>
      <c r="D48" s="461"/>
      <c r="E48" s="461"/>
      <c r="F48" s="461"/>
      <c r="G48" s="461"/>
      <c r="H48" s="461"/>
      <c r="I48" s="461"/>
      <c r="J48" s="461"/>
      <c r="K48" s="461"/>
      <c r="L48" s="461"/>
      <c r="M48" s="461"/>
      <c r="N48" s="461"/>
      <c r="O48" s="461"/>
      <c r="P48" s="461"/>
      <c r="Q48" s="461"/>
      <c r="R48" s="216"/>
      <c r="S48" s="216"/>
      <c r="T48" s="216"/>
    </row>
    <row r="49" spans="1:20" ht="15" customHeight="1">
      <c r="B49" s="461"/>
      <c r="C49" s="461"/>
      <c r="D49" s="461"/>
      <c r="E49" s="461"/>
      <c r="F49" s="461"/>
      <c r="G49" s="461"/>
      <c r="H49" s="461"/>
      <c r="I49" s="461"/>
      <c r="J49" s="461"/>
      <c r="K49" s="461"/>
      <c r="L49" s="461"/>
      <c r="M49" s="461"/>
      <c r="N49" s="461"/>
      <c r="O49" s="461"/>
      <c r="P49" s="461"/>
      <c r="Q49" s="461"/>
      <c r="R49" s="216"/>
      <c r="S49" s="216"/>
      <c r="T49" s="216"/>
    </row>
    <row r="50" spans="1:20" ht="14.25">
      <c r="B50" s="217"/>
      <c r="C50" s="217"/>
      <c r="D50" s="217"/>
      <c r="E50" s="217"/>
      <c r="F50" s="217"/>
      <c r="G50" s="217"/>
      <c r="H50" s="217"/>
      <c r="I50" s="217"/>
      <c r="J50" s="217"/>
      <c r="K50" s="217"/>
      <c r="L50" s="217"/>
      <c r="M50" s="217"/>
      <c r="N50" s="217"/>
      <c r="O50" s="217"/>
      <c r="P50" s="217"/>
      <c r="Q50" s="216"/>
      <c r="R50" s="216"/>
      <c r="S50" s="216"/>
      <c r="T50" s="216"/>
    </row>
    <row r="51" spans="1:20" ht="20.100000000000001" customHeight="1">
      <c r="B51" s="217"/>
      <c r="C51" s="217"/>
      <c r="D51" s="217"/>
      <c r="E51" s="217"/>
      <c r="F51" s="217"/>
      <c r="G51" s="217"/>
      <c r="H51" s="217"/>
      <c r="I51" s="217"/>
      <c r="J51" s="217"/>
      <c r="M51" s="216" t="s">
        <v>484</v>
      </c>
      <c r="N51" s="379" t="s">
        <v>281</v>
      </c>
      <c r="O51" s="380"/>
      <c r="P51" s="383">
        <f>Total_Agent_Basic*P46</f>
        <v>93.494561968617461</v>
      </c>
      <c r="Q51" s="384"/>
      <c r="R51" s="226" t="s">
        <v>349</v>
      </c>
      <c r="S51" s="226" t="s">
        <v>349</v>
      </c>
      <c r="T51" s="226"/>
    </row>
    <row r="53" spans="1:20" ht="20.100000000000001" customHeight="1">
      <c r="A53" s="385" t="s">
        <v>276</v>
      </c>
      <c r="B53" s="386"/>
      <c r="C53" s="386"/>
      <c r="D53" s="387"/>
      <c r="E53" s="391">
        <v>98</v>
      </c>
      <c r="F53" s="392"/>
      <c r="G53" s="200" t="s">
        <v>349</v>
      </c>
      <c r="H53" s="73"/>
      <c r="I53" s="415" t="str">
        <f>IF(E55=1,"Warning","")</f>
        <v/>
      </c>
      <c r="J53" s="415"/>
      <c r="K53" s="415"/>
      <c r="L53" s="415"/>
      <c r="M53" s="216" t="s">
        <v>485</v>
      </c>
      <c r="N53" s="379" t="s">
        <v>502</v>
      </c>
      <c r="O53" s="380"/>
      <c r="P53" s="377">
        <f>IF(Total_Agent_Set&gt;P51,Total_Agent_Set,ROUNDUP(P51,0))</f>
        <v>98</v>
      </c>
      <c r="Q53" s="378"/>
      <c r="R53" s="73" t="s">
        <v>2</v>
      </c>
      <c r="S53" s="73" t="s">
        <v>2</v>
      </c>
      <c r="T53" s="73"/>
    </row>
    <row r="54" spans="1:20" ht="12" customHeight="1"/>
    <row r="55" spans="1:20" ht="20.100000000000001" customHeight="1">
      <c r="D55" s="216"/>
      <c r="E55" s="327">
        <f>IF(Total_Agent_Set&lt;P51,1,0)</f>
        <v>0</v>
      </c>
      <c r="F55" s="458" t="str">
        <f>IF(Total_Agent_Set&lt;P51,"You Have to Set Agent Value Greater than Calculated Agent Weight  !!!","")</f>
        <v/>
      </c>
      <c r="G55" s="458"/>
      <c r="H55" s="458"/>
      <c r="I55" s="458"/>
      <c r="J55" s="458"/>
      <c r="K55" s="458"/>
      <c r="L55" s="458"/>
      <c r="M55" s="458"/>
      <c r="N55" s="458"/>
      <c r="O55" s="216"/>
      <c r="P55" s="216"/>
      <c r="Q55" s="216"/>
    </row>
    <row r="56" spans="1:20" ht="12" customHeight="1">
      <c r="D56" s="216"/>
      <c r="E56" s="216"/>
      <c r="F56" s="319"/>
      <c r="G56" s="319"/>
      <c r="I56" s="319"/>
      <c r="J56" s="319"/>
      <c r="K56" s="319"/>
      <c r="L56" s="319"/>
      <c r="M56" s="319"/>
      <c r="N56" s="319"/>
      <c r="O56" s="216"/>
      <c r="P56" s="216"/>
      <c r="Q56" s="216"/>
    </row>
    <row r="57" spans="1:20" ht="20.100000000000001" customHeight="1">
      <c r="D57" s="216"/>
      <c r="E57" s="216"/>
      <c r="F57" s="257"/>
      <c r="G57" s="258"/>
      <c r="H57" s="258"/>
      <c r="I57" s="258"/>
      <c r="J57" s="258"/>
      <c r="K57" s="258"/>
      <c r="L57" s="468" t="s">
        <v>520</v>
      </c>
      <c r="M57" s="469"/>
      <c r="N57" s="466" t="s">
        <v>492</v>
      </c>
      <c r="O57" s="467"/>
      <c r="P57" s="377">
        <f>(100*Total_Agent*S.V.V._Min.)/(Altitude_Correction_Factors*Total.Volume+S.V.V._Min.*Total_Agent)</f>
        <v>7.3126577072936625</v>
      </c>
      <c r="Q57" s="378"/>
      <c r="R57" s="73" t="s">
        <v>14</v>
      </c>
      <c r="S57" s="73" t="s">
        <v>14</v>
      </c>
      <c r="T57" s="73"/>
    </row>
    <row r="58" spans="1:20" ht="20.100000000000001" customHeight="1">
      <c r="D58" s="216"/>
      <c r="E58" s="216"/>
      <c r="F58" s="257"/>
      <c r="G58" s="258"/>
      <c r="H58" s="258"/>
      <c r="I58" s="258"/>
      <c r="J58" s="258"/>
      <c r="K58" s="258"/>
      <c r="L58" s="468"/>
      <c r="M58" s="469"/>
      <c r="N58" s="466" t="s">
        <v>493</v>
      </c>
      <c r="O58" s="467"/>
      <c r="P58" s="377">
        <f>(100*Total_Agent*S.V.V._Max.)/(Altitude_Correction_Factors*Total.Volume+S.V.V._Max.*Total_Agent)</f>
        <v>7.5674169807709148</v>
      </c>
      <c r="Q58" s="378"/>
      <c r="R58" s="73" t="s">
        <v>14</v>
      </c>
      <c r="S58" s="73" t="s">
        <v>14</v>
      </c>
      <c r="T58" s="73"/>
    </row>
    <row r="59" spans="1:20" ht="20.100000000000001" customHeight="1">
      <c r="D59" s="216"/>
      <c r="E59" s="216"/>
      <c r="F59" s="257"/>
      <c r="G59" s="258"/>
      <c r="H59" s="258"/>
      <c r="I59" s="258"/>
      <c r="J59" s="258"/>
      <c r="K59" s="258"/>
      <c r="L59" s="270"/>
      <c r="M59" s="270"/>
      <c r="N59" s="271"/>
      <c r="O59" s="271"/>
      <c r="P59" s="272"/>
      <c r="Q59" s="272"/>
      <c r="R59" s="73"/>
      <c r="S59" s="73"/>
      <c r="T59" s="73"/>
    </row>
    <row r="60" spans="1:20" ht="20.100000000000001" customHeight="1">
      <c r="D60" s="456" t="str">
        <f>IF(C61=1,"WARNING !","")</f>
        <v/>
      </c>
      <c r="E60" s="456"/>
      <c r="F60" s="456"/>
      <c r="G60" s="456"/>
      <c r="H60" s="456"/>
      <c r="I60" s="456"/>
      <c r="J60" s="456"/>
      <c r="K60" s="456"/>
      <c r="L60" s="456"/>
      <c r="M60" s="456"/>
      <c r="N60" s="456"/>
      <c r="O60" s="456"/>
      <c r="P60" s="456"/>
      <c r="R60" s="73"/>
      <c r="S60" s="73"/>
      <c r="T60" s="73"/>
    </row>
    <row r="61" spans="1:20" ht="20.100000000000001" customHeight="1">
      <c r="C61" s="326">
        <f>IF(P58&gt;9,1,IF(P57&gt;9,2,0))</f>
        <v>0</v>
      </c>
      <c r="D61" s="370" t="str">
        <f>IF(C61=1,"Predicted Concentration is Higher then NOAEL (9%) on High Tempreture. It's dangerous for pepole on normally occupied areas",IF(C61=2,"Predicted Concentration on Low Tempreture is Higher then NOAEL (9%). It's dangerous for pepole on normally occupied areas",""))</f>
        <v/>
      </c>
      <c r="E61" s="370"/>
      <c r="F61" s="370"/>
      <c r="G61" s="370"/>
      <c r="H61" s="370"/>
      <c r="I61" s="370"/>
      <c r="J61" s="370"/>
      <c r="K61" s="370"/>
      <c r="L61" s="370"/>
      <c r="M61" s="370"/>
      <c r="N61" s="370"/>
      <c r="O61" s="370"/>
      <c r="P61" s="370"/>
      <c r="R61" s="73"/>
      <c r="S61" s="73"/>
      <c r="T61" s="73"/>
    </row>
    <row r="62" spans="1:20" ht="13.9" customHeight="1">
      <c r="C62" s="315"/>
      <c r="D62" s="314"/>
      <c r="E62" s="314"/>
      <c r="F62" s="314"/>
      <c r="G62" s="314"/>
      <c r="H62" s="314"/>
      <c r="I62" s="314"/>
      <c r="J62" s="314"/>
      <c r="K62" s="314"/>
      <c r="L62" s="314"/>
      <c r="M62" s="314"/>
      <c r="N62" s="314"/>
      <c r="O62" s="314"/>
      <c r="P62" s="314"/>
    </row>
    <row r="63" spans="1:20" ht="20.100000000000001" customHeight="1">
      <c r="C63" s="326"/>
      <c r="D63" s="370" t="str">
        <f>IF(S36=1,"Volume of Hazard 1 is Less than 10% of Total Volume. Recommand: Recalculate for Hazard 1 Seperatly and Use Its own Cylinder",IF(S37=1,"Volume of Hazard 2 is Less than 10% of Total Volume. Recommand: Recalculate for Hazard 2 Seperatly and Use Its own Cylinder",IF(S38=1,"Volume of Hazard 3 is Less than 10% of Total Volume. Recommand: Recalculate for Hazard 3 Seperatly and Use Its own Cylinder",IF(S39=1,"Volume of Hazard 4 is Less than 10% of Total Volume. Recommand: Recalculate for Hazard 4 Seperatly and Use Its own Cylinder",IF(S40=1,"Volume of Hazard 5 is Less than 10% of Total Volume. Recommand: Recalculate for Hazard 5 Seperatly and Use Its own Cylinder","")))))</f>
        <v/>
      </c>
      <c r="E63" s="370"/>
      <c r="F63" s="370"/>
      <c r="G63" s="370"/>
      <c r="H63" s="370"/>
      <c r="I63" s="370"/>
      <c r="J63" s="370"/>
      <c r="K63" s="370"/>
      <c r="L63" s="370"/>
      <c r="M63" s="370"/>
      <c r="N63" s="370"/>
      <c r="O63" s="370"/>
      <c r="P63" s="370"/>
      <c r="R63" s="73"/>
      <c r="S63" s="73"/>
      <c r="T63" s="73"/>
    </row>
    <row r="64" spans="1:20" ht="13.9" customHeight="1">
      <c r="D64" s="257"/>
      <c r="E64" s="257"/>
      <c r="F64" s="257"/>
      <c r="G64" s="257"/>
      <c r="H64" s="257"/>
      <c r="I64" s="257"/>
      <c r="J64" s="257"/>
      <c r="K64" s="257"/>
      <c r="L64" s="257"/>
      <c r="M64" s="257"/>
      <c r="N64" s="257"/>
      <c r="O64" s="257"/>
      <c r="P64" s="257"/>
    </row>
    <row r="65" spans="1:20" ht="17.100000000000001" customHeight="1">
      <c r="A65" s="385" t="s">
        <v>418</v>
      </c>
      <c r="B65" s="386"/>
      <c r="C65" s="386"/>
      <c r="D65" s="387"/>
      <c r="E65" s="422" t="s">
        <v>375</v>
      </c>
      <c r="F65" s="423"/>
      <c r="G65" s="73"/>
      <c r="N65" s="290" t="s">
        <v>375</v>
      </c>
      <c r="O65" s="231" t="s">
        <v>376</v>
      </c>
    </row>
    <row r="66" spans="1:20" ht="20.100000000000001" customHeight="1">
      <c r="A66" s="385" t="s">
        <v>419</v>
      </c>
      <c r="B66" s="386"/>
      <c r="C66" s="386"/>
      <c r="D66" s="387"/>
      <c r="E66" s="424">
        <v>147</v>
      </c>
      <c r="F66" s="425"/>
      <c r="G66" s="252" t="s">
        <v>301</v>
      </c>
      <c r="H66" s="322"/>
      <c r="I66" s="427" t="str">
        <f>IF(AND(brand="thorn",Q69&gt;Cylinder_Filling_T_Max.),"Filling Agent per Cylinder is Over Its Maximum Filling",IF(AND(brand="thorn",Q69&lt;Cylinder_Filling_T_Min.),"Filling Agent per Cylinder is Less than Its Minimum Filling.",IF(AND(brand="lpg",Q69&gt;Cylinder_Filling_L_Max.),"Filling Agent per Cylinder is Over Its Maximum Filling",IF(AND(brand="lpg",Q69&lt;Cylinder_Filling_L_Min.),"Filling Agent per Cylinder is Less than Its Minimum Filling.",""))))</f>
        <v/>
      </c>
      <c r="J66" s="427"/>
      <c r="K66" s="427"/>
      <c r="L66" s="427"/>
      <c r="M66" s="323"/>
      <c r="N66" s="399" t="s">
        <v>486</v>
      </c>
      <c r="O66" s="417"/>
      <c r="P66" s="400"/>
      <c r="Q66" s="260" t="str">
        <f>IF(brand="thorn",Cylinder_Filling_THORN,IF(brand="lpg",Cylinder_Filling_LPG,"Please Select Valid Cylinder"))</f>
        <v>74.0 to 147.0</v>
      </c>
      <c r="R66" s="73" t="s">
        <v>349</v>
      </c>
      <c r="S66" s="73" t="s">
        <v>349</v>
      </c>
      <c r="T66" s="73"/>
    </row>
    <row r="67" spans="1:20" ht="20.100000000000001" customHeight="1">
      <c r="A67" s="421" t="s">
        <v>491</v>
      </c>
      <c r="B67" s="421"/>
      <c r="C67" s="421"/>
      <c r="D67" s="421"/>
      <c r="E67" s="426">
        <v>1</v>
      </c>
      <c r="F67" s="426"/>
      <c r="G67" s="73"/>
      <c r="H67" s="322"/>
      <c r="I67" s="427"/>
      <c r="J67" s="427"/>
      <c r="K67" s="427"/>
      <c r="L67" s="427"/>
      <c r="M67" s="322"/>
      <c r="N67" s="865" t="s">
        <v>378</v>
      </c>
      <c r="O67" s="865"/>
      <c r="P67" s="866">
        <f>IF(brand="thorn",Number_of_Cylinder,IF(brand="lpg",1,0))</f>
        <v>1</v>
      </c>
      <c r="Q67" s="867" t="str">
        <f>IF(brand="thorn",Cylinder_PN_THORN,IF(brand="lpg",IF(Number_of_Cylinder=1,Cylinder_PN_LPG1,Cylinder_PN_LPG2)))</f>
        <v>303.205.020</v>
      </c>
      <c r="R67" s="864"/>
      <c r="S67" s="864"/>
      <c r="T67" s="255"/>
    </row>
    <row r="68" spans="1:20" ht="20.100000000000001" customHeight="1">
      <c r="H68" s="322"/>
      <c r="I68" s="322"/>
      <c r="J68" s="322"/>
      <c r="K68" s="322"/>
      <c r="L68" s="322"/>
      <c r="M68" s="322"/>
      <c r="N68" s="418" t="s">
        <v>378</v>
      </c>
      <c r="O68" s="418"/>
      <c r="P68" s="324">
        <f>IF(brand="thorn",0,IF(brand="lpg",K66-1,0))</f>
        <v>0</v>
      </c>
      <c r="Q68" s="325" t="str">
        <f>IF(brand="lpg",IF(Number_of_Cylinder&gt;1,Cylinder_PN_LPG3,0),"")</f>
        <v/>
      </c>
      <c r="R68" s="255"/>
      <c r="S68" s="255"/>
      <c r="T68" s="255"/>
    </row>
    <row r="69" spans="1:20" ht="20.100000000000001" customHeight="1">
      <c r="N69" s="419" t="s">
        <v>399</v>
      </c>
      <c r="O69" s="420"/>
      <c r="P69" s="263"/>
      <c r="Q69" s="264">
        <f>Total_Agent/Number_of_Cylinder</f>
        <v>98</v>
      </c>
      <c r="R69" s="256"/>
      <c r="S69" s="256"/>
      <c r="T69" s="256"/>
    </row>
    <row r="70" spans="1:20" ht="17.100000000000001" customHeight="1">
      <c r="N70" s="428"/>
      <c r="O70" s="428"/>
      <c r="P70" s="429"/>
      <c r="Q70" s="429"/>
      <c r="R70" s="265"/>
      <c r="S70" s="265"/>
      <c r="T70" s="265"/>
    </row>
    <row r="71" spans="1:20" ht="17.100000000000001" customHeight="1">
      <c r="A71" s="216"/>
      <c r="B71" s="216"/>
      <c r="C71" s="216"/>
      <c r="D71" s="430" t="str">
        <f>IF(C72=1,"INFORMATION","")</f>
        <v/>
      </c>
      <c r="E71" s="430"/>
      <c r="F71" s="430"/>
      <c r="G71" s="430"/>
      <c r="H71" s="430"/>
      <c r="I71" s="430"/>
      <c r="J71" s="430"/>
      <c r="K71" s="430"/>
      <c r="L71" s="430"/>
      <c r="M71" s="430"/>
      <c r="N71" s="430"/>
      <c r="O71" s="430"/>
      <c r="P71" s="430"/>
      <c r="Q71" s="266"/>
      <c r="R71" s="265"/>
      <c r="S71" s="265"/>
      <c r="T71" s="265"/>
    </row>
    <row r="72" spans="1:20" ht="12" customHeight="1">
      <c r="A72" s="216"/>
      <c r="B72" s="216"/>
      <c r="C72" s="431" t="str">
        <f>IF(AND(brand="thorn",Q69&gt;0.7*Cylinder_Filling_T_Max.),1,IF(AND(brand="thorn",Q69&lt;1.3*Cylinder_Filling_T_Min.),1,IF(AND(brand="lpg",Q69&gt;0.7*Cylinder_Filling_L_Max.),1,IF(AND(brand="lpg",Q69&lt;1.3*Cylinder_Filling_L_Min.),1,""))))</f>
        <v/>
      </c>
      <c r="D72" s="432" t="str">
        <f>IF(AND(brand="thorn",Q69&gt;0.7*Cylinder_Filling_T_Max.),"Filling per Cylinder is Over 70% Recommended Filling Range!",IF(AND(brand="thorn",Q69&lt;1.3*Cylinder_Filling_T_Min.),"Filling per Cylinder is too Less in Its Filling Range!",IF(AND(brand="lpg",Q69&gt;0.7*Cylinder_Filling_L_Max.),"Filling per Cylinder is Over 70% Recommended Filling Range!",IF(AND(brand="lpg",Q69&lt;1.3*Cylinder_Filling_L_Min.),"Filling per Cylinder is too Less in Its Filling Range1",""))))</f>
        <v/>
      </c>
      <c r="E72" s="432"/>
      <c r="F72" s="432"/>
      <c r="G72" s="432"/>
      <c r="H72" s="432"/>
      <c r="I72" s="432"/>
      <c r="J72" s="432"/>
      <c r="K72" s="432"/>
      <c r="L72" s="432"/>
      <c r="M72" s="432"/>
      <c r="N72" s="432"/>
      <c r="O72" s="432"/>
      <c r="P72" s="432"/>
      <c r="Q72" s="267"/>
      <c r="R72" s="267"/>
      <c r="S72" s="267"/>
      <c r="T72" s="267"/>
    </row>
    <row r="73" spans="1:20" ht="12" customHeight="1">
      <c r="A73" s="216"/>
      <c r="B73" s="216"/>
      <c r="C73" s="431"/>
      <c r="D73" s="432"/>
      <c r="E73" s="432"/>
      <c r="F73" s="432"/>
      <c r="G73" s="432"/>
      <c r="H73" s="432"/>
      <c r="I73" s="432"/>
      <c r="J73" s="432"/>
      <c r="K73" s="432"/>
      <c r="L73" s="432"/>
      <c r="M73" s="432"/>
      <c r="N73" s="432"/>
      <c r="O73" s="432"/>
      <c r="P73" s="432"/>
      <c r="Q73" s="216"/>
      <c r="R73" s="216"/>
      <c r="S73" s="216"/>
      <c r="T73" s="216"/>
    </row>
    <row r="74" spans="1:20" ht="17.100000000000001" customHeight="1">
      <c r="N74" s="416"/>
      <c r="O74" s="416"/>
      <c r="P74" s="459"/>
      <c r="Q74" s="459"/>
      <c r="R74" s="265"/>
      <c r="S74" s="265"/>
      <c r="T74" s="265"/>
    </row>
    <row r="75" spans="1:20" ht="19.899999999999999" customHeight="1">
      <c r="A75" s="216"/>
      <c r="B75" s="216"/>
      <c r="C75" s="216"/>
      <c r="D75" s="329"/>
      <c r="E75" s="329"/>
      <c r="F75" s="329"/>
      <c r="G75" s="329"/>
      <c r="H75" s="329"/>
      <c r="I75" s="460" t="str">
        <f>IF(C77=1,"Warning !","")</f>
        <v/>
      </c>
      <c r="J75" s="460"/>
      <c r="K75" s="460"/>
      <c r="L75" s="460"/>
      <c r="M75" s="329"/>
      <c r="N75" s="329"/>
      <c r="O75" s="329"/>
      <c r="P75" s="329"/>
      <c r="Q75" s="266"/>
      <c r="R75" s="265"/>
      <c r="S75" s="265"/>
      <c r="T75" s="265"/>
    </row>
    <row r="76" spans="1:20" ht="10.15" customHeight="1">
      <c r="A76" s="216"/>
      <c r="B76" s="216"/>
      <c r="C76" s="216"/>
      <c r="D76" s="328"/>
      <c r="E76" s="328"/>
      <c r="F76" s="328"/>
      <c r="G76" s="328"/>
      <c r="H76" s="328"/>
      <c r="I76" s="328"/>
      <c r="J76" s="328"/>
      <c r="K76" s="328"/>
      <c r="L76" s="328"/>
      <c r="M76" s="328"/>
      <c r="N76" s="328"/>
      <c r="O76" s="328"/>
      <c r="P76" s="328"/>
      <c r="Q76" s="266"/>
      <c r="R76" s="265"/>
      <c r="S76" s="265"/>
      <c r="T76" s="265"/>
    </row>
    <row r="77" spans="1:20" ht="15" customHeight="1">
      <c r="A77" s="216"/>
      <c r="B77" s="216"/>
      <c r="C77" s="431">
        <f>IF(AND(brand="thorn",Q69&lt;'raw data'!O21),1,IF(AND(brand="thorn",Q69&gt;'raw data'!O23),1,IF(AND(brand="lpg",Q69&lt;'raw data'!O22),1,IF(AND(brand="lpg",Q69&gt;'raw data'!O24),1,0))))</f>
        <v>0</v>
      </c>
      <c r="D77" s="457" t="str">
        <f>IF(AND(brand="thorn",Q69&lt;'raw data'!O21),"Please Rechack Number of Cylinders and Select Correct Cylinder Size!, Agent per Cylinder is below Minimum Cylinder Filling!",IF(AND(brand="thorn",Q69&gt;'raw data'!O23),"Please Rechack Number of Cylinders and Select Correct Cylinder Size!, Agent per Cylinder is More than Maximum Cylinder Filling!",IF(AND(brand="lpg",Q69&lt;'raw data'!O22),"Please Rechack Number of Cylinders and Select Correct Cylinder Size!, Agent per Cylinder is below Minimum Cylinder Filling!",IF(AND(brand="lpg",Q69&gt;'raw data'!O24),"Please Rechack Number of Cylinders and Select Correct Cylinder Size!, Agent per Cylinder is More than Maximum Cylinder Filling!",""))))</f>
        <v/>
      </c>
      <c r="E77" s="457"/>
      <c r="F77" s="457"/>
      <c r="G77" s="457"/>
      <c r="H77" s="457"/>
      <c r="I77" s="457"/>
      <c r="J77" s="457"/>
      <c r="K77" s="457"/>
      <c r="L77" s="457"/>
      <c r="M77" s="457"/>
      <c r="N77" s="457"/>
      <c r="O77" s="457"/>
      <c r="P77" s="457"/>
      <c r="Q77" s="267"/>
      <c r="R77" s="267"/>
      <c r="S77" s="267"/>
      <c r="T77" s="267"/>
    </row>
    <row r="78" spans="1:20" ht="15" customHeight="1">
      <c r="A78" s="216"/>
      <c r="B78" s="216"/>
      <c r="C78" s="431"/>
      <c r="D78" s="457"/>
      <c r="E78" s="457"/>
      <c r="F78" s="457"/>
      <c r="G78" s="457"/>
      <c r="H78" s="457"/>
      <c r="I78" s="457"/>
      <c r="J78" s="457"/>
      <c r="K78" s="457"/>
      <c r="L78" s="457"/>
      <c r="M78" s="457"/>
      <c r="N78" s="457"/>
      <c r="O78" s="457"/>
      <c r="P78" s="457"/>
      <c r="Q78" s="216"/>
      <c r="R78" s="216"/>
      <c r="S78" s="216"/>
      <c r="T78" s="216"/>
    </row>
    <row r="80" spans="1:20" ht="17.100000000000001" customHeight="1">
      <c r="A80" s="433" t="s">
        <v>523</v>
      </c>
      <c r="B80" s="433"/>
      <c r="C80" s="433"/>
      <c r="D80" s="433"/>
      <c r="E80" s="433"/>
      <c r="F80" s="433"/>
      <c r="G80" s="433"/>
      <c r="H80" s="433"/>
      <c r="I80" s="433"/>
      <c r="J80" s="433"/>
      <c r="K80" s="433"/>
      <c r="L80" s="433"/>
      <c r="M80" s="433"/>
      <c r="N80" s="433"/>
      <c r="O80" s="433"/>
      <c r="P80" s="433"/>
      <c r="Q80" s="433"/>
      <c r="R80" s="433"/>
      <c r="S80" s="433"/>
      <c r="T80" s="265"/>
    </row>
    <row r="81" spans="1:20" ht="15" customHeight="1">
      <c r="A81" s="433" t="s">
        <v>524</v>
      </c>
      <c r="B81" s="433"/>
      <c r="C81" s="433"/>
      <c r="D81" s="433"/>
      <c r="E81" s="433"/>
      <c r="F81" s="433"/>
      <c r="G81" s="433"/>
      <c r="H81" s="433"/>
      <c r="I81" s="433"/>
      <c r="J81" s="433"/>
      <c r="K81" s="433"/>
      <c r="L81" s="433"/>
      <c r="M81" s="433"/>
      <c r="N81" s="433"/>
      <c r="O81" s="433"/>
      <c r="P81" s="433"/>
      <c r="Q81" s="433"/>
      <c r="R81" s="433"/>
      <c r="S81" s="433"/>
      <c r="T81" s="265"/>
    </row>
    <row r="82" spans="1:20" ht="15" customHeight="1">
      <c r="A82" s="433"/>
      <c r="B82" s="433"/>
      <c r="C82" s="433"/>
      <c r="D82" s="433"/>
      <c r="E82" s="433"/>
      <c r="F82" s="433"/>
      <c r="G82" s="433"/>
      <c r="H82" s="433"/>
      <c r="I82" s="433"/>
      <c r="J82" s="433"/>
      <c r="K82" s="433"/>
      <c r="L82" s="433"/>
      <c r="M82" s="433"/>
      <c r="N82" s="433"/>
      <c r="O82" s="433"/>
      <c r="P82" s="433"/>
      <c r="Q82" s="433"/>
      <c r="R82" s="433"/>
      <c r="S82" s="433"/>
      <c r="T82" s="265"/>
    </row>
    <row r="83" spans="1:20" ht="15" customHeight="1">
      <c r="A83" s="433" t="s">
        <v>522</v>
      </c>
      <c r="B83" s="433"/>
      <c r="C83" s="433"/>
      <c r="D83" s="433"/>
      <c r="E83" s="433"/>
      <c r="F83" s="433"/>
      <c r="G83" s="433"/>
      <c r="H83" s="433"/>
      <c r="I83" s="433"/>
      <c r="J83" s="433"/>
      <c r="K83" s="433"/>
      <c r="L83" s="433"/>
      <c r="M83" s="433"/>
      <c r="N83" s="433"/>
      <c r="O83" s="433"/>
      <c r="P83" s="433"/>
      <c r="Q83" s="433"/>
      <c r="R83" s="433"/>
      <c r="S83" s="433"/>
      <c r="T83" s="265"/>
    </row>
    <row r="84" spans="1:20" ht="15" customHeight="1">
      <c r="A84" s="433"/>
      <c r="B84" s="433"/>
      <c r="C84" s="433"/>
      <c r="D84" s="433"/>
      <c r="E84" s="433"/>
      <c r="F84" s="433"/>
      <c r="G84" s="433"/>
      <c r="H84" s="433"/>
      <c r="I84" s="433"/>
      <c r="J84" s="433"/>
      <c r="K84" s="433"/>
      <c r="L84" s="433"/>
      <c r="M84" s="433"/>
      <c r="N84" s="433"/>
      <c r="O84" s="433"/>
      <c r="P84" s="433"/>
      <c r="Q84" s="433"/>
      <c r="R84" s="433"/>
      <c r="S84" s="433"/>
      <c r="T84" s="265"/>
    </row>
    <row r="85" spans="1:20" ht="20.100000000000001" customHeight="1">
      <c r="A85" s="433" t="s">
        <v>525</v>
      </c>
      <c r="B85" s="433"/>
      <c r="C85" s="433"/>
      <c r="D85" s="433"/>
      <c r="E85" s="433"/>
      <c r="F85" s="433"/>
      <c r="G85" s="433"/>
      <c r="H85" s="433"/>
      <c r="I85" s="433"/>
      <c r="J85" s="433"/>
      <c r="K85" s="433"/>
      <c r="L85" s="433"/>
      <c r="M85" s="433"/>
      <c r="N85" s="433"/>
      <c r="O85" s="433"/>
      <c r="P85" s="433"/>
      <c r="Q85" s="433"/>
      <c r="R85" s="433"/>
      <c r="S85" s="433"/>
      <c r="T85" s="265"/>
    </row>
    <row r="86" spans="1:20" ht="20.100000000000001" customHeight="1">
      <c r="A86" s="433"/>
      <c r="B86" s="433"/>
      <c r="C86" s="433"/>
      <c r="D86" s="433"/>
      <c r="E86" s="433"/>
      <c r="F86" s="433"/>
      <c r="G86" s="433"/>
      <c r="H86" s="433"/>
      <c r="I86" s="433"/>
      <c r="J86" s="433"/>
      <c r="K86" s="433"/>
      <c r="L86" s="433"/>
      <c r="M86" s="433"/>
      <c r="N86" s="433"/>
      <c r="O86" s="433"/>
      <c r="P86" s="433"/>
      <c r="Q86" s="433"/>
      <c r="R86" s="433"/>
      <c r="S86" s="433"/>
      <c r="T86" s="265"/>
    </row>
    <row r="87" spans="1:20" ht="18" customHeight="1">
      <c r="A87" s="433" t="s">
        <v>528</v>
      </c>
      <c r="B87" s="433"/>
      <c r="C87" s="433"/>
      <c r="D87" s="433"/>
      <c r="E87" s="433"/>
      <c r="F87" s="433"/>
      <c r="G87" s="433"/>
      <c r="H87" s="433"/>
      <c r="I87" s="433"/>
      <c r="J87" s="433"/>
      <c r="K87" s="433"/>
      <c r="L87" s="433"/>
      <c r="M87" s="433"/>
      <c r="N87" s="433"/>
      <c r="O87" s="433"/>
      <c r="P87" s="433"/>
      <c r="Q87" s="433"/>
      <c r="R87" s="433"/>
      <c r="S87" s="433"/>
      <c r="T87" s="265"/>
    </row>
    <row r="88" spans="1:20" ht="18" customHeight="1">
      <c r="A88" s="433"/>
      <c r="B88" s="433"/>
      <c r="C88" s="433"/>
      <c r="D88" s="433"/>
      <c r="E88" s="433"/>
      <c r="F88" s="433"/>
      <c r="G88" s="433"/>
      <c r="H88" s="433"/>
      <c r="I88" s="433"/>
      <c r="J88" s="433"/>
      <c r="K88" s="433"/>
      <c r="L88" s="433"/>
      <c r="M88" s="433"/>
      <c r="N88" s="433"/>
      <c r="O88" s="433"/>
      <c r="P88" s="433"/>
      <c r="Q88" s="433"/>
      <c r="R88" s="433"/>
      <c r="S88" s="433"/>
      <c r="T88" s="265"/>
    </row>
    <row r="89" spans="1:20" ht="18" customHeight="1">
      <c r="A89" s="433"/>
      <c r="B89" s="433"/>
      <c r="C89" s="433"/>
      <c r="D89" s="433"/>
      <c r="E89" s="433"/>
      <c r="F89" s="433"/>
      <c r="G89" s="433"/>
      <c r="H89" s="433"/>
      <c r="I89" s="433"/>
      <c r="J89" s="433"/>
      <c r="K89" s="433"/>
      <c r="L89" s="433"/>
      <c r="M89" s="433"/>
      <c r="N89" s="433"/>
      <c r="O89" s="433"/>
      <c r="P89" s="433"/>
      <c r="Q89" s="433"/>
      <c r="R89" s="433"/>
      <c r="S89" s="433"/>
      <c r="T89" s="265"/>
    </row>
    <row r="90" spans="1:20" s="220" customFormat="1">
      <c r="A90" s="216"/>
      <c r="B90" s="216"/>
      <c r="C90" s="216"/>
      <c r="D90" s="216"/>
      <c r="E90" s="216"/>
      <c r="F90" s="216"/>
      <c r="G90" s="216"/>
      <c r="H90" s="216"/>
      <c r="I90" s="216"/>
      <c r="J90" s="216"/>
      <c r="K90" s="216"/>
      <c r="L90" s="216"/>
      <c r="M90" s="216"/>
      <c r="N90" s="216"/>
      <c r="O90" s="216"/>
      <c r="P90" s="216"/>
      <c r="Q90" s="216"/>
      <c r="R90" s="216"/>
      <c r="S90" s="216"/>
      <c r="T90" s="216"/>
    </row>
  </sheetData>
  <sheetProtection algorithmName="SHA-512" hashValue="l38EbcEf0HsSWfoDHkHacS6oaSUAsjkYQUs+2yFdFZ4GrtbIC9Cqdvdrd8Uf9W4HBChmxi8nczP36JrgjvHmgA==" saltValue="An61nCMW3V/CiyIIdeU82A==" spinCount="100000" sheet="1" objects="1" scenarios="1"/>
  <dataConsolidate/>
  <mergeCells count="111">
    <mergeCell ref="A83:S84"/>
    <mergeCell ref="A85:S86"/>
    <mergeCell ref="F55:N55"/>
    <mergeCell ref="P74:Q74"/>
    <mergeCell ref="I75:L75"/>
    <mergeCell ref="I15:K15"/>
    <mergeCell ref="B48:Q49"/>
    <mergeCell ref="I13:Q14"/>
    <mergeCell ref="B17:Q17"/>
    <mergeCell ref="O15:S15"/>
    <mergeCell ref="N57:O57"/>
    <mergeCell ref="P57:Q57"/>
    <mergeCell ref="N58:O58"/>
    <mergeCell ref="P58:Q58"/>
    <mergeCell ref="L57:M58"/>
    <mergeCell ref="P24:Q24"/>
    <mergeCell ref="P26:Q26"/>
    <mergeCell ref="P33:Q34"/>
    <mergeCell ref="P35:Q35"/>
    <mergeCell ref="P36:Q36"/>
    <mergeCell ref="P37:Q37"/>
    <mergeCell ref="P38:Q38"/>
    <mergeCell ref="P39:Q39"/>
    <mergeCell ref="P40:Q40"/>
    <mergeCell ref="A87:S89"/>
    <mergeCell ref="A80:S80"/>
    <mergeCell ref="A81:S82"/>
    <mergeCell ref="A26:D26"/>
    <mergeCell ref="E26:F26"/>
    <mergeCell ref="A24:D24"/>
    <mergeCell ref="M28:O28"/>
    <mergeCell ref="P28:Q28"/>
    <mergeCell ref="R33:R34"/>
    <mergeCell ref="A33:A35"/>
    <mergeCell ref="O33:O34"/>
    <mergeCell ref="A30:D30"/>
    <mergeCell ref="E30:F30"/>
    <mergeCell ref="M30:N30"/>
    <mergeCell ref="J33:J34"/>
    <mergeCell ref="B33:E35"/>
    <mergeCell ref="F33:F34"/>
    <mergeCell ref="G33:G34"/>
    <mergeCell ref="H33:H34"/>
    <mergeCell ref="I33:I34"/>
    <mergeCell ref="D60:P60"/>
    <mergeCell ref="D61:P61"/>
    <mergeCell ref="C77:C78"/>
    <mergeCell ref="D77:P78"/>
    <mergeCell ref="I53:L53"/>
    <mergeCell ref="N74:O74"/>
    <mergeCell ref="N66:P66"/>
    <mergeCell ref="N67:O67"/>
    <mergeCell ref="N68:O68"/>
    <mergeCell ref="N69:O69"/>
    <mergeCell ref="A65:D65"/>
    <mergeCell ref="A66:D66"/>
    <mergeCell ref="A67:D67"/>
    <mergeCell ref="E65:F65"/>
    <mergeCell ref="E66:F66"/>
    <mergeCell ref="E67:F67"/>
    <mergeCell ref="I66:L67"/>
    <mergeCell ref="N70:O70"/>
    <mergeCell ref="P70:Q70"/>
    <mergeCell ref="D71:P71"/>
    <mergeCell ref="C72:C73"/>
    <mergeCell ref="D72:P73"/>
    <mergeCell ref="A4:S4"/>
    <mergeCell ref="A5:S5"/>
    <mergeCell ref="A6:S6"/>
    <mergeCell ref="U4:X4"/>
    <mergeCell ref="U5:X5"/>
    <mergeCell ref="A19:D19"/>
    <mergeCell ref="E19:F19"/>
    <mergeCell ref="A21:D21"/>
    <mergeCell ref="E21:F21"/>
    <mergeCell ref="M15:N15"/>
    <mergeCell ref="I21:P22"/>
    <mergeCell ref="A15:D15"/>
    <mergeCell ref="E15:F15"/>
    <mergeCell ref="A9:D9"/>
    <mergeCell ref="E9:F9"/>
    <mergeCell ref="A13:D13"/>
    <mergeCell ref="E13:F13"/>
    <mergeCell ref="I9:P9"/>
    <mergeCell ref="E11:F11"/>
    <mergeCell ref="A11:D11"/>
    <mergeCell ref="I11:Q12"/>
    <mergeCell ref="U33:U34"/>
    <mergeCell ref="D63:P63"/>
    <mergeCell ref="E24:F24"/>
    <mergeCell ref="M24:O24"/>
    <mergeCell ref="M26:O26"/>
    <mergeCell ref="B40:E40"/>
    <mergeCell ref="K33:K34"/>
    <mergeCell ref="L33:L34"/>
    <mergeCell ref="M33:M34"/>
    <mergeCell ref="N33:N34"/>
    <mergeCell ref="B36:E36"/>
    <mergeCell ref="B37:E37"/>
    <mergeCell ref="B38:E38"/>
    <mergeCell ref="B39:E39"/>
    <mergeCell ref="P53:Q53"/>
    <mergeCell ref="N51:O51"/>
    <mergeCell ref="N53:O53"/>
    <mergeCell ref="P46:Q46"/>
    <mergeCell ref="P51:Q51"/>
    <mergeCell ref="A46:D46"/>
    <mergeCell ref="E46:F46"/>
    <mergeCell ref="N46:O46"/>
    <mergeCell ref="A53:D53"/>
    <mergeCell ref="E53:F53"/>
  </mergeCells>
  <conditionalFormatting sqref="F36:H40">
    <cfRule type="cellIs" dxfId="40" priority="79" stopIfTrue="1" operator="lessThanOrEqual">
      <formula>0</formula>
    </cfRule>
  </conditionalFormatting>
  <conditionalFormatting sqref="F55:N55">
    <cfRule type="expression" dxfId="39" priority="45">
      <formula>$E$53&lt;$P$51</formula>
    </cfRule>
  </conditionalFormatting>
  <conditionalFormatting sqref="Q69">
    <cfRule type="expression" dxfId="38" priority="44">
      <formula>$C$77=1</formula>
    </cfRule>
  </conditionalFormatting>
  <conditionalFormatting sqref="E66:F67">
    <cfRule type="expression" dxfId="37" priority="43">
      <formula>$C$77=1</formula>
    </cfRule>
  </conditionalFormatting>
  <conditionalFormatting sqref="E53:F53">
    <cfRule type="expression" dxfId="36" priority="3">
      <formula>$C$61=1</formula>
    </cfRule>
    <cfRule type="expression" dxfId="35" priority="42">
      <formula>$E$53&lt;$P$51</formula>
    </cfRule>
  </conditionalFormatting>
  <conditionalFormatting sqref="P58:Q58">
    <cfRule type="expression" dxfId="34" priority="41">
      <formula>$P$58&gt;9</formula>
    </cfRule>
  </conditionalFormatting>
  <conditionalFormatting sqref="P57:Q57">
    <cfRule type="expression" dxfId="33" priority="40">
      <formula>$P$57&gt;9</formula>
    </cfRule>
  </conditionalFormatting>
  <conditionalFormatting sqref="N65">
    <cfRule type="expression" dxfId="32" priority="33">
      <formula>$E$65="thorn"</formula>
    </cfRule>
    <cfRule type="expression" dxfId="31" priority="34">
      <formula>$E$65="lpg"</formula>
    </cfRule>
  </conditionalFormatting>
  <conditionalFormatting sqref="O65">
    <cfRule type="expression" dxfId="30" priority="23">
      <formula>$E$65="THORN"</formula>
    </cfRule>
    <cfRule type="expression" dxfId="29" priority="24">
      <formula>$E$65="LPG"</formula>
    </cfRule>
  </conditionalFormatting>
  <conditionalFormatting sqref="M15:N15">
    <cfRule type="expression" dxfId="28" priority="21">
      <formula>$E$14=3</formula>
    </cfRule>
    <cfRule type="expression" dxfId="27" priority="22">
      <formula>$E$14=1</formula>
    </cfRule>
  </conditionalFormatting>
  <conditionalFormatting sqref="D63:P63 A80:A81 A87">
    <cfRule type="expression" dxfId="26" priority="20">
      <formula>"or($S$39,$S$40,$S$41,$S$42,$S$43)=1"</formula>
    </cfRule>
  </conditionalFormatting>
  <conditionalFormatting sqref="H66">
    <cfRule type="expression" dxfId="25" priority="19">
      <formula>"or($S$39,$S$40,$S$41,$S$42,$S$43)=1"</formula>
    </cfRule>
  </conditionalFormatting>
  <conditionalFormatting sqref="A83 A85">
    <cfRule type="expression" dxfId="24" priority="18">
      <formula>"or($S$39,$S$40,$S$41,$S$42,$S$43)=1"</formula>
    </cfRule>
  </conditionalFormatting>
  <conditionalFormatting sqref="I53:L53">
    <cfRule type="expression" dxfId="23" priority="16">
      <formula>$E$55=1</formula>
    </cfRule>
  </conditionalFormatting>
  <conditionalFormatting sqref="D77:P78">
    <cfRule type="expression" dxfId="22" priority="13">
      <formula>$C$77=1</formula>
    </cfRule>
  </conditionalFormatting>
  <conditionalFormatting sqref="I75:L75">
    <cfRule type="expression" dxfId="21" priority="11">
      <formula>$C$77=1</formula>
    </cfRule>
  </conditionalFormatting>
  <conditionalFormatting sqref="D71:P73">
    <cfRule type="expression" dxfId="20" priority="9">
      <formula>$C$77=1</formula>
    </cfRule>
    <cfRule type="expression" dxfId="19" priority="10">
      <formula>$C$72=1</formula>
    </cfRule>
  </conditionalFormatting>
  <conditionalFormatting sqref="A40:Q40">
    <cfRule type="expression" dxfId="18" priority="8">
      <formula>$E$30&lt;5</formula>
    </cfRule>
  </conditionalFormatting>
  <conditionalFormatting sqref="A39:Q39">
    <cfRule type="expression" dxfId="17" priority="7">
      <formula>$E$30&lt;4</formula>
    </cfRule>
  </conditionalFormatting>
  <conditionalFormatting sqref="A38:Q38">
    <cfRule type="expression" dxfId="16" priority="6">
      <formula>$E$30&lt;3</formula>
    </cfRule>
  </conditionalFormatting>
  <conditionalFormatting sqref="A37:Q37">
    <cfRule type="expression" dxfId="15" priority="5">
      <formula>$E$30&lt;2</formula>
    </cfRule>
  </conditionalFormatting>
  <conditionalFormatting sqref="I21:P22">
    <cfRule type="expression" dxfId="14" priority="4">
      <formula>E19&lt;E15</formula>
    </cfRule>
  </conditionalFormatting>
  <conditionalFormatting sqref="E21:F21">
    <cfRule type="expression" dxfId="13" priority="2">
      <formula>E19&lt;E15</formula>
    </cfRule>
  </conditionalFormatting>
  <conditionalFormatting sqref="E19:F19">
    <cfRule type="expression" dxfId="12" priority="1">
      <formula>E19&lt;E15</formula>
    </cfRule>
  </conditionalFormatting>
  <dataValidations count="3">
    <dataValidation type="list" allowBlank="1" showInputMessage="1" showErrorMessage="1" error="&quot;Unvalid Data&quot;_x000a_Please Select Correct Standard from list" prompt="Select Desirable Standard from List" sqref="E9:F9" xr:uid="{00000000-0002-0000-0300-000000000000}">
      <formula1>Design_Standards</formula1>
    </dataValidation>
    <dataValidation type="list" allowBlank="1" showInputMessage="1" showErrorMessage="1" error="Select Correct Fire Type from List" sqref="E13:F13" xr:uid="{00000000-0002-0000-0300-000001000000}">
      <formula1>Fire_Classification</formula1>
    </dataValidation>
    <dataValidation type="list" allowBlank="1" showInputMessage="1" showErrorMessage="1" sqref="E66" xr:uid="{00000000-0002-0000-0300-000002000000}">
      <formula1>Cylinders_Size_List</formula1>
    </dataValidation>
  </dataValidations>
  <hyperlinks>
    <hyperlink ref="U4:X4" location="Summary!A1" display="back to Summary" xr:uid="{00000000-0004-0000-0300-000000000000}"/>
    <hyperlink ref="U5:X5" location="'Nozzle &amp; Flow Rate'!A1" display="go to Flow Rate" xr:uid="{00000000-0004-0000-0300-000001000000}"/>
    <hyperlink ref="M15:N15" location="'Fule M.D.C'!A1" display="Select  Fule M.D.C" xr:uid="{00000000-0004-0000-0300-000002000000}"/>
    <hyperlink ref="A46:D46" location="Altitude!A1" display="SEA  LEVEL" xr:uid="{00000000-0004-0000-0300-000003000000}"/>
    <hyperlink ref="N65" location="'THORN Cylinder'!A1" display="THORN" xr:uid="{00000000-0004-0000-0300-000004000000}"/>
    <hyperlink ref="O65" location="'LPG Cylinder'!A1" display="LPG" xr:uid="{00000000-0004-0000-0300-000005000000}"/>
    <hyperlink ref="M28:O28" location="'NFPA S.V.V'!A1" display="Specific Vapour Volume (NFPA)" xr:uid="{00000000-0004-0000-0300-000006000000}"/>
    <hyperlink ref="R33:R34" location="'NFPA S.V.V'!A1" display="Basic Aget Quantity" xr:uid="{00000000-0004-0000-0300-000007000000}"/>
    <hyperlink ref="U33:U34" location="'NFPA S.V.V'!A1" display="Max. Concentration/Hazard" xr:uid="{00000000-0004-0000-0300-000008000000}"/>
  </hyperlinks>
  <printOptions horizontalCentered="1"/>
  <pageMargins left="0.8" right="0.8" top="0.5" bottom="0.75" header="0.5" footer="0.3"/>
  <pageSetup paperSize="9" scale="51" orientation="portrait" horizontalDpi="1200" verticalDpi="1200" r:id="rId1"/>
  <headerFooter>
    <oddHeader>&amp;L&amp;G</oddHeader>
    <oddFooter>&amp;L&amp;"Cambria,Regular"&amp;8Tel  : +98 ( 21 ) 4420 1601
&amp;K00+000Tel  :&amp;K000000 +98 ( 21 ) 4420 1768
Fax : +98 ( 21 ) 4420 1934&amp;C&amp;"Cambria,Regular"&amp;8-2-&amp;R&amp;"Cambria,Regular"&amp;8Created by: Ali Cheraghi
(BSEE)</oddFooter>
  </headerFooter>
  <legacyDrawing r:id="rId2"/>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error="&quot;Unvalid Data&quot;_x000a_Please Select Correct Discharge Time" prompt="Select Desirable Discharge Time from List" xr:uid="{00000000-0002-0000-0300-000003000000}">
          <x14:formula1>
            <xm:f>'C:\Users\Ali\Downloads\[CO2 Calculator (Total Flooding), R.26.3.xlsx]raw data'!#REF!</xm:f>
          </x14:formula1>
          <xm:sqref>A11:D11</xm:sqref>
        </x14:dataValidation>
        <x14:dataValidation type="list" allowBlank="1" showInputMessage="1" showErrorMessage="1" xr:uid="{00000000-0002-0000-0300-000004000000}">
          <x14:formula1>
            <xm:f>'raw data'!$M$3:$M$7</xm:f>
          </x14:formula1>
          <xm:sqref>E30:F30</xm:sqref>
        </x14:dataValidation>
        <x14:dataValidation type="list" allowBlank="1" showInputMessage="1" showErrorMessage="1" xr:uid="{00000000-0002-0000-0300-000005000000}">
          <x14:formula1>
            <xm:f>'raw data'!$A$13:$A$14</xm:f>
          </x14:formula1>
          <xm:sqref>E65:F65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8000"/>
    <pageSetUpPr fitToPage="1"/>
  </sheetPr>
  <dimension ref="A1:AC44"/>
  <sheetViews>
    <sheetView showGridLines="0" view="pageBreakPreview" zoomScaleSheetLayoutView="100" workbookViewId="0">
      <pane ySplit="10" topLeftCell="A11" activePane="bottomLeft" state="frozen"/>
      <selection activeCell="P5" sqref="P5:T5"/>
      <selection pane="bottomLeft" activeCell="A6" sqref="A6:W6"/>
    </sheetView>
  </sheetViews>
  <sheetFormatPr defaultColWidth="9.140625" defaultRowHeight="12.75"/>
  <cols>
    <col min="1" max="1" width="2.7109375" style="234" customWidth="1"/>
    <col min="2" max="2" width="16.7109375" style="234" customWidth="1"/>
    <col min="3" max="4" width="9.28515625" style="234" customWidth="1"/>
    <col min="5" max="5" width="8.7109375" style="234" customWidth="1"/>
    <col min="6" max="7" width="6.7109375" style="234" customWidth="1"/>
    <col min="8" max="8" width="9.28515625" style="234" customWidth="1"/>
    <col min="9" max="9" width="9.7109375" style="234" customWidth="1"/>
    <col min="10" max="11" width="8.7109375" style="234" customWidth="1"/>
    <col min="12" max="12" width="9.140625" style="234"/>
    <col min="13" max="13" width="13.7109375" style="234" customWidth="1"/>
    <col min="14" max="14" width="9.7109375" style="234" customWidth="1"/>
    <col min="15" max="16" width="6.7109375" style="234" customWidth="1"/>
    <col min="17" max="18" width="9.140625" style="234"/>
    <col min="19" max="19" width="9.7109375" style="234" customWidth="1"/>
    <col min="20" max="16384" width="9.140625" style="234"/>
  </cols>
  <sheetData>
    <row r="1" spans="1:26" ht="9.9499999999999993" customHeight="1">
      <c r="A1" s="54"/>
      <c r="B1" s="54"/>
      <c r="C1" s="54"/>
      <c r="D1" s="54"/>
      <c r="E1" s="54"/>
      <c r="F1" s="54"/>
      <c r="G1" s="54"/>
      <c r="H1" s="54"/>
      <c r="I1" s="54"/>
      <c r="J1" s="54"/>
      <c r="K1" s="54"/>
      <c r="L1" s="55"/>
      <c r="V1" s="201" t="s">
        <v>435</v>
      </c>
      <c r="W1" s="201" t="str">
        <f>'Protected Areas'!R1</f>
        <v>1396/10/22</v>
      </c>
    </row>
    <row r="2" spans="1:26" ht="9.9499999999999993" customHeight="1">
      <c r="A2" s="54"/>
      <c r="B2" s="54"/>
      <c r="C2" s="54"/>
      <c r="D2" s="54"/>
      <c r="E2" s="54"/>
      <c r="F2" s="54"/>
      <c r="G2" s="54"/>
      <c r="H2" s="54"/>
      <c r="I2" s="54"/>
      <c r="J2" s="54"/>
      <c r="K2" s="54"/>
      <c r="L2" s="55"/>
      <c r="V2" s="201" t="s">
        <v>436</v>
      </c>
      <c r="W2" s="201">
        <f>'Protected Areas'!R2</f>
        <v>38.299999999999997</v>
      </c>
    </row>
    <row r="3" spans="1:26" ht="9.9499999999999993" customHeight="1">
      <c r="A3" s="54"/>
      <c r="B3" s="54"/>
      <c r="C3" s="54"/>
      <c r="D3" s="54"/>
      <c r="E3" s="54"/>
      <c r="F3" s="54"/>
      <c r="G3" s="54"/>
      <c r="H3" s="54"/>
      <c r="I3" s="54"/>
      <c r="J3" s="54"/>
      <c r="K3" s="54"/>
      <c r="L3" s="55"/>
      <c r="V3" s="227" t="s">
        <v>437</v>
      </c>
      <c r="W3" s="227"/>
    </row>
    <row r="4" spans="1:26" ht="20.100000000000001" customHeight="1">
      <c r="A4" s="490" t="s">
        <v>299</v>
      </c>
      <c r="B4" s="490"/>
      <c r="C4" s="490"/>
      <c r="D4" s="490"/>
      <c r="E4" s="490"/>
      <c r="F4" s="490"/>
      <c r="G4" s="490"/>
      <c r="H4" s="490"/>
      <c r="I4" s="490"/>
      <c r="J4" s="490"/>
      <c r="K4" s="490"/>
      <c r="L4" s="490"/>
      <c r="M4" s="490"/>
      <c r="N4" s="490"/>
      <c r="O4" s="490"/>
      <c r="P4" s="490"/>
      <c r="Q4" s="490"/>
      <c r="R4" s="490"/>
      <c r="S4" s="490"/>
      <c r="T4" s="490"/>
      <c r="U4" s="490"/>
      <c r="V4" s="490"/>
      <c r="W4" s="490"/>
    </row>
    <row r="5" spans="1:26" ht="20.100000000000001" customHeight="1">
      <c r="A5" s="343" t="s">
        <v>504</v>
      </c>
      <c r="B5" s="343"/>
      <c r="C5" s="343"/>
      <c r="D5" s="343"/>
      <c r="E5" s="343"/>
      <c r="F5" s="343"/>
      <c r="G5" s="343"/>
      <c r="H5" s="343"/>
      <c r="I5" s="343"/>
      <c r="J5" s="343"/>
      <c r="K5" s="343"/>
      <c r="L5" s="343"/>
      <c r="M5" s="343"/>
      <c r="N5" s="343"/>
      <c r="O5" s="343"/>
      <c r="P5" s="343"/>
      <c r="Q5" s="343"/>
      <c r="R5" s="343"/>
      <c r="S5" s="343"/>
      <c r="T5" s="343"/>
      <c r="U5" s="343"/>
      <c r="V5" s="343"/>
      <c r="W5" s="343"/>
      <c r="X5" s="482" t="s">
        <v>503</v>
      </c>
      <c r="Y5" s="482"/>
      <c r="Z5" s="482"/>
    </row>
    <row r="6" spans="1:26" ht="15" customHeight="1">
      <c r="A6" s="491" t="str">
        <f>Project.Name</f>
        <v>Insert Project Name</v>
      </c>
      <c r="B6" s="491"/>
      <c r="C6" s="491"/>
      <c r="D6" s="491"/>
      <c r="E6" s="491"/>
      <c r="F6" s="491"/>
      <c r="G6" s="491"/>
      <c r="H6" s="491"/>
      <c r="I6" s="491"/>
      <c r="J6" s="491"/>
      <c r="K6" s="491"/>
      <c r="L6" s="491"/>
      <c r="M6" s="491"/>
      <c r="N6" s="491"/>
      <c r="O6" s="491"/>
      <c r="P6" s="491"/>
      <c r="Q6" s="491"/>
      <c r="R6" s="491"/>
      <c r="S6" s="491"/>
      <c r="T6" s="491"/>
      <c r="U6" s="491"/>
      <c r="V6" s="491"/>
      <c r="W6" s="491"/>
    </row>
    <row r="7" spans="1:26" ht="20.100000000000001" customHeight="1">
      <c r="A7" s="478" t="s">
        <v>288</v>
      </c>
      <c r="B7" s="478"/>
      <c r="C7" s="478"/>
      <c r="D7" s="478"/>
      <c r="E7" s="478"/>
      <c r="F7" s="478"/>
      <c r="G7" s="478"/>
      <c r="H7" s="478"/>
      <c r="I7" s="478"/>
      <c r="J7" s="478"/>
      <c r="K7" s="478"/>
      <c r="L7" s="43"/>
      <c r="M7" s="477"/>
      <c r="N7" s="477"/>
    </row>
    <row r="8" spans="1:26" ht="18" customHeight="1">
      <c r="A8" s="385" t="s">
        <v>420</v>
      </c>
      <c r="B8" s="386"/>
      <c r="C8" s="386"/>
      <c r="D8" s="387"/>
      <c r="E8" s="285" t="str">
        <f>brand</f>
        <v>THORN</v>
      </c>
      <c r="F8" s="479" t="str">
        <f>IF(brand="THORN","Low Pressure System",IF(brand="LPG","High Presssure System",0))</f>
        <v>Low Pressure System</v>
      </c>
      <c r="G8" s="479"/>
      <c r="H8" s="479"/>
      <c r="L8" s="43"/>
      <c r="M8" s="480"/>
      <c r="N8" s="480"/>
    </row>
    <row r="9" spans="1:26" ht="20.100000000000001" customHeight="1">
      <c r="L9" s="43"/>
      <c r="M9" s="477"/>
      <c r="N9" s="477"/>
    </row>
    <row r="10" spans="1:26" ht="15" customHeight="1">
      <c r="A10" s="75"/>
      <c r="B10" s="75"/>
      <c r="C10" s="75"/>
      <c r="D10" s="75"/>
      <c r="E10" s="75"/>
      <c r="F10" s="75"/>
      <c r="G10" s="75"/>
      <c r="H10" s="75"/>
      <c r="I10" s="75"/>
      <c r="J10" s="75"/>
      <c r="K10" s="75"/>
      <c r="L10" s="237"/>
      <c r="M10" s="237"/>
    </row>
    <row r="11" spans="1:26" ht="15" customHeight="1">
      <c r="A11" s="476" t="s">
        <v>424</v>
      </c>
      <c r="B11" s="476"/>
      <c r="C11" s="476"/>
      <c r="D11" s="476"/>
      <c r="E11" s="476"/>
      <c r="F11" s="476"/>
      <c r="G11" s="75"/>
      <c r="H11" s="75"/>
      <c r="I11" s="75"/>
      <c r="J11" s="75"/>
      <c r="K11" s="75"/>
      <c r="L11" s="237"/>
      <c r="M11" s="237"/>
    </row>
    <row r="12" spans="1:26" ht="8.1" customHeight="1">
      <c r="A12" s="236"/>
      <c r="B12" s="236"/>
      <c r="C12" s="236"/>
      <c r="D12" s="236"/>
      <c r="E12" s="236"/>
      <c r="F12" s="236"/>
      <c r="G12" s="75"/>
      <c r="H12" s="75"/>
      <c r="I12" s="75"/>
      <c r="J12" s="75"/>
      <c r="K12" s="75"/>
      <c r="L12" s="237"/>
      <c r="M12" s="237"/>
    </row>
    <row r="13" spans="1:26" ht="27" customHeight="1">
      <c r="A13" s="75"/>
      <c r="B13" s="281"/>
      <c r="C13" s="492" t="str">
        <f>IF(brand="thorn",Nozzle_THORN_spec,IF(brand="lpg",Nozzle_LPG_spec,0))</f>
        <v>Nozzle location is affected by the shape of the hazard area.
1- The maximum discharge radius is 8.7 m for a 360° nozzle and 10.05 m for a 180° nozzle.
2- The maximum coverage area for either nozzle is 95.3 m².
3- 4.87 m maximum protection height for 360° and 180° nozzle.
4- 300 mm minimum void height. (i.e. Sub-floors and false ceilings)
5- 180° nozzles must be mounted adjacent to a wall and must be located to cover the entire area.
6- Maximum distance 180 degree nozzles should be placed from a wall 300 mm, the minimum 50 mm. Measured from centre of the nozzle to the wall.
7- To avoid turbulences inside the hazard the quantity per nozzle should not exceed 100 kg.</v>
      </c>
      <c r="D13" s="492"/>
      <c r="E13" s="492"/>
      <c r="F13" s="492"/>
      <c r="G13" s="492"/>
      <c r="H13" s="492"/>
      <c r="I13" s="492"/>
      <c r="J13" s="492"/>
      <c r="K13" s="492"/>
      <c r="L13" s="492"/>
      <c r="M13" s="492"/>
      <c r="N13" s="492"/>
      <c r="O13" s="492"/>
      <c r="P13" s="492"/>
      <c r="Q13" s="492"/>
      <c r="R13" s="492"/>
    </row>
    <row r="14" spans="1:26" ht="27" customHeight="1">
      <c r="A14" s="75"/>
      <c r="B14" s="281"/>
      <c r="C14" s="492"/>
      <c r="D14" s="492"/>
      <c r="E14" s="492"/>
      <c r="F14" s="492"/>
      <c r="G14" s="492"/>
      <c r="H14" s="492"/>
      <c r="I14" s="492"/>
      <c r="J14" s="492"/>
      <c r="K14" s="492"/>
      <c r="L14" s="492"/>
      <c r="M14" s="492"/>
      <c r="N14" s="492"/>
      <c r="O14" s="492"/>
      <c r="P14" s="492"/>
      <c r="Q14" s="492"/>
      <c r="R14" s="492"/>
    </row>
    <row r="15" spans="1:26" ht="27" customHeight="1">
      <c r="A15" s="75"/>
      <c r="B15" s="281"/>
      <c r="C15" s="492"/>
      <c r="D15" s="492"/>
      <c r="E15" s="492"/>
      <c r="F15" s="492"/>
      <c r="G15" s="492"/>
      <c r="H15" s="492"/>
      <c r="I15" s="492"/>
      <c r="J15" s="492"/>
      <c r="K15" s="492"/>
      <c r="L15" s="492"/>
      <c r="M15" s="492"/>
      <c r="N15" s="492"/>
      <c r="O15" s="492"/>
      <c r="P15" s="492"/>
      <c r="Q15" s="492"/>
      <c r="R15" s="492"/>
    </row>
    <row r="16" spans="1:26" ht="27" customHeight="1">
      <c r="A16" s="75"/>
      <c r="B16" s="281"/>
      <c r="C16" s="492"/>
      <c r="D16" s="492"/>
      <c r="E16" s="492"/>
      <c r="F16" s="492"/>
      <c r="G16" s="492"/>
      <c r="H16" s="492"/>
      <c r="I16" s="492"/>
      <c r="J16" s="492"/>
      <c r="K16" s="492"/>
      <c r="L16" s="492"/>
      <c r="M16" s="492"/>
      <c r="N16" s="492"/>
      <c r="O16" s="492"/>
      <c r="P16" s="492"/>
      <c r="Q16" s="492"/>
      <c r="R16" s="492"/>
    </row>
    <row r="17" spans="1:29" ht="27" customHeight="1">
      <c r="A17" s="75"/>
      <c r="B17" s="281"/>
      <c r="C17" s="492"/>
      <c r="D17" s="492"/>
      <c r="E17" s="492"/>
      <c r="F17" s="492"/>
      <c r="G17" s="492"/>
      <c r="H17" s="492"/>
      <c r="I17" s="492"/>
      <c r="J17" s="492"/>
      <c r="K17" s="492"/>
      <c r="L17" s="492"/>
      <c r="M17" s="492"/>
      <c r="N17" s="492"/>
      <c r="O17" s="492"/>
      <c r="P17" s="492"/>
      <c r="Q17" s="492"/>
      <c r="R17" s="492"/>
    </row>
    <row r="18" spans="1:29" ht="15" customHeight="1">
      <c r="A18" s="75"/>
      <c r="B18" s="75"/>
      <c r="C18" s="75"/>
      <c r="D18" s="75"/>
      <c r="E18" s="75"/>
      <c r="F18" s="75"/>
      <c r="G18" s="75"/>
      <c r="H18" s="75"/>
      <c r="I18" s="75"/>
      <c r="J18" s="75"/>
      <c r="K18" s="75"/>
      <c r="L18" s="237"/>
      <c r="M18" s="237"/>
    </row>
    <row r="19" spans="1:29" ht="20.100000000000001" customHeight="1">
      <c r="A19" s="237"/>
      <c r="B19" s="237"/>
      <c r="C19" s="237"/>
      <c r="D19" s="237"/>
      <c r="E19" s="237"/>
      <c r="F19" s="237"/>
      <c r="G19" s="237"/>
      <c r="H19" s="237"/>
      <c r="I19" s="237"/>
      <c r="J19" s="237"/>
      <c r="K19" s="237"/>
      <c r="L19" s="237"/>
      <c r="M19" s="237"/>
    </row>
    <row r="20" spans="1:29" ht="20.100000000000001" customHeight="1">
      <c r="A20" s="385" t="s">
        <v>293</v>
      </c>
      <c r="B20" s="386"/>
      <c r="C20" s="386"/>
      <c r="D20" s="387"/>
      <c r="E20" s="283">
        <f>Number_of_Hazard</f>
        <v>3</v>
      </c>
      <c r="F20" s="216"/>
      <c r="G20" s="216"/>
      <c r="H20" s="216"/>
      <c r="I20" s="216"/>
      <c r="J20" s="216"/>
      <c r="K20" s="216"/>
      <c r="O20" s="216"/>
      <c r="P20" s="216"/>
      <c r="Q20" s="216"/>
      <c r="R20" s="216"/>
      <c r="S20" s="216"/>
      <c r="T20" s="444" t="s">
        <v>452</v>
      </c>
      <c r="U20" s="445"/>
      <c r="V20" s="209">
        <f>Total.Volume</f>
        <v>190</v>
      </c>
      <c r="W20" s="225" t="s">
        <v>453</v>
      </c>
    </row>
    <row r="21" spans="1:29" ht="20.100000000000001" customHeight="1">
      <c r="A21" s="216"/>
      <c r="B21" s="216"/>
      <c r="C21" s="216"/>
      <c r="D21" s="216"/>
      <c r="E21" s="288"/>
      <c r="F21" s="216"/>
      <c r="G21" s="216"/>
      <c r="H21" s="216"/>
      <c r="I21" s="216"/>
      <c r="J21" s="216"/>
      <c r="K21" s="216"/>
      <c r="O21" s="216"/>
      <c r="P21" s="216"/>
      <c r="Q21" s="216"/>
      <c r="R21" s="216"/>
      <c r="S21" s="216"/>
      <c r="T21" s="216"/>
      <c r="U21" s="483"/>
      <c r="V21" s="483"/>
      <c r="W21" s="226"/>
    </row>
    <row r="22" spans="1:29" ht="20.100000000000001" customHeight="1">
      <c r="A22" s="216"/>
      <c r="B22" s="216"/>
      <c r="C22" s="216"/>
      <c r="D22" s="216"/>
      <c r="E22" s="216"/>
      <c r="F22" s="216"/>
      <c r="G22" s="216"/>
      <c r="H22" s="216"/>
      <c r="I22" s="216"/>
      <c r="J22" s="216"/>
      <c r="K22" s="216"/>
      <c r="L22" s="218"/>
      <c r="M22" s="218"/>
      <c r="N22" s="218"/>
      <c r="O22" s="216"/>
      <c r="P22" s="216"/>
      <c r="Q22" s="216"/>
      <c r="R22" s="216"/>
      <c r="S22" s="216"/>
      <c r="T22" s="444" t="s">
        <v>416</v>
      </c>
      <c r="U22" s="445"/>
      <c r="V22" s="209">
        <f>Total_Agent</f>
        <v>98</v>
      </c>
      <c r="W22" s="225" t="s">
        <v>349</v>
      </c>
    </row>
    <row r="23" spans="1:29" ht="14.25">
      <c r="A23" s="216"/>
      <c r="B23" s="216"/>
      <c r="C23" s="216"/>
      <c r="D23" s="216"/>
      <c r="E23" s="216"/>
      <c r="F23" s="216"/>
      <c r="G23" s="216"/>
      <c r="H23" s="216"/>
      <c r="I23" s="216"/>
      <c r="J23" s="216"/>
      <c r="K23" s="216"/>
      <c r="L23" s="218"/>
      <c r="M23" s="218"/>
      <c r="N23" s="218"/>
      <c r="O23" s="216"/>
      <c r="P23" s="216"/>
      <c r="Q23" s="216"/>
      <c r="R23" s="216"/>
      <c r="S23" s="216"/>
      <c r="T23" s="254"/>
      <c r="U23" s="254"/>
      <c r="V23" s="254"/>
      <c r="W23" s="226"/>
    </row>
    <row r="24" spans="1:29" ht="14.25">
      <c r="A24" s="216"/>
      <c r="B24" s="216"/>
      <c r="C24" s="216"/>
      <c r="D24" s="216"/>
      <c r="E24" s="216"/>
      <c r="F24" s="216"/>
      <c r="G24" s="216"/>
      <c r="H24" s="216"/>
      <c r="I24" s="216"/>
      <c r="J24" s="216"/>
      <c r="K24" s="216"/>
      <c r="L24" s="216"/>
      <c r="M24" s="216"/>
      <c r="N24" s="216"/>
      <c r="O24" s="216"/>
      <c r="P24" s="216"/>
      <c r="Q24" s="216"/>
      <c r="R24" s="216"/>
      <c r="S24" s="216"/>
      <c r="T24" s="216"/>
      <c r="U24" s="477"/>
      <c r="V24" s="477"/>
      <c r="W24" s="216"/>
    </row>
    <row r="25" spans="1:29" ht="24.95" customHeight="1">
      <c r="A25" s="374" t="s">
        <v>454</v>
      </c>
      <c r="B25" s="446" t="s">
        <v>455</v>
      </c>
      <c r="C25" s="447"/>
      <c r="D25" s="447"/>
      <c r="E25" s="448"/>
      <c r="F25" s="455" t="s">
        <v>13</v>
      </c>
      <c r="G25" s="455" t="s">
        <v>0</v>
      </c>
      <c r="H25" s="455" t="s">
        <v>1</v>
      </c>
      <c r="I25" s="374" t="s">
        <v>29</v>
      </c>
      <c r="J25" s="374" t="s">
        <v>533</v>
      </c>
      <c r="K25" s="374" t="s">
        <v>532</v>
      </c>
      <c r="L25" s="374" t="s">
        <v>452</v>
      </c>
      <c r="M25" s="374" t="s">
        <v>476</v>
      </c>
      <c r="N25" s="470" t="s">
        <v>458</v>
      </c>
      <c r="O25" s="486" t="s">
        <v>541</v>
      </c>
      <c r="P25" s="487"/>
      <c r="Q25" s="486" t="s">
        <v>500</v>
      </c>
      <c r="R25" s="487"/>
      <c r="S25" s="486" t="s">
        <v>494</v>
      </c>
      <c r="T25" s="487"/>
      <c r="U25" s="488" t="s">
        <v>495</v>
      </c>
      <c r="V25" s="486" t="s">
        <v>501</v>
      </c>
      <c r="W25" s="487"/>
    </row>
    <row r="26" spans="1:29" ht="14.25" customHeight="1">
      <c r="A26" s="376"/>
      <c r="B26" s="449"/>
      <c r="C26" s="450"/>
      <c r="D26" s="450"/>
      <c r="E26" s="451"/>
      <c r="F26" s="455"/>
      <c r="G26" s="455"/>
      <c r="H26" s="455"/>
      <c r="I26" s="375"/>
      <c r="J26" s="375"/>
      <c r="K26" s="375"/>
      <c r="L26" s="375"/>
      <c r="M26" s="376"/>
      <c r="N26" s="472"/>
      <c r="O26" s="278" t="s">
        <v>405</v>
      </c>
      <c r="P26" s="278" t="s">
        <v>404</v>
      </c>
      <c r="Q26" s="278" t="s">
        <v>405</v>
      </c>
      <c r="R26" s="278" t="s">
        <v>404</v>
      </c>
      <c r="S26" s="273" t="s">
        <v>496</v>
      </c>
      <c r="T26" s="273" t="s">
        <v>497</v>
      </c>
      <c r="U26" s="489"/>
      <c r="V26" s="278" t="s">
        <v>405</v>
      </c>
      <c r="W26" s="278" t="s">
        <v>404</v>
      </c>
    </row>
    <row r="27" spans="1:29" ht="14.25" customHeight="1">
      <c r="A27" s="375"/>
      <c r="B27" s="452"/>
      <c r="C27" s="453"/>
      <c r="D27" s="453"/>
      <c r="E27" s="454"/>
      <c r="F27" s="212" t="s">
        <v>11</v>
      </c>
      <c r="G27" s="212" t="s">
        <v>11</v>
      </c>
      <c r="H27" s="212" t="s">
        <v>11</v>
      </c>
      <c r="I27" s="212" t="s">
        <v>459</v>
      </c>
      <c r="J27" s="212" t="s">
        <v>460</v>
      </c>
      <c r="K27" s="212" t="s">
        <v>460</v>
      </c>
      <c r="L27" s="212" t="s">
        <v>460</v>
      </c>
      <c r="M27" s="212" t="s">
        <v>14</v>
      </c>
      <c r="N27" s="279" t="s">
        <v>349</v>
      </c>
      <c r="O27" s="484" t="s">
        <v>499</v>
      </c>
      <c r="P27" s="485"/>
      <c r="Q27" s="484" t="s">
        <v>499</v>
      </c>
      <c r="R27" s="485"/>
      <c r="S27" s="274" t="s">
        <v>498</v>
      </c>
      <c r="T27" s="274" t="s">
        <v>498</v>
      </c>
      <c r="U27" s="274" t="s">
        <v>349</v>
      </c>
      <c r="V27" s="484" t="s">
        <v>499</v>
      </c>
      <c r="W27" s="485"/>
    </row>
    <row r="28" spans="1:29" ht="24.95" customHeight="1">
      <c r="A28" s="284">
        <f>'Protected Areas'!A36</f>
        <v>1</v>
      </c>
      <c r="B28" s="481" t="str">
        <f>'Protected Areas'!B36:E36</f>
        <v>Server Room</v>
      </c>
      <c r="C28" s="481"/>
      <c r="D28" s="481"/>
      <c r="E28" s="481"/>
      <c r="F28" s="280">
        <f>'Protected Areas'!F36</f>
        <v>10</v>
      </c>
      <c r="G28" s="280">
        <f>'Protected Areas'!G36</f>
        <v>5</v>
      </c>
      <c r="H28" s="280">
        <f>'Protected Areas'!H36</f>
        <v>3</v>
      </c>
      <c r="I28" s="209">
        <f>IF(Number_of_Hazard&gt;=1,F28*G28,0)</f>
        <v>50</v>
      </c>
      <c r="J28" s="209">
        <f>IF(Number_of_Hazard&gt;=1,F28*G28*H28,0)</f>
        <v>150</v>
      </c>
      <c r="K28" s="280">
        <v>0</v>
      </c>
      <c r="L28" s="209">
        <f>J28-K28</f>
        <v>150</v>
      </c>
      <c r="M28" s="215">
        <f>IF(Number_of_Hazard&gt;=1,(Total.Volume.1/Total.Volume),0)</f>
        <v>0.78947368421052633</v>
      </c>
      <c r="N28" s="259">
        <f>Total_Agent*Volume_01_percent</f>
        <v>77.368421052631575</v>
      </c>
      <c r="O28" s="493">
        <f>Total_Agent_Basic/6</f>
        <v>17.508344937943345</v>
      </c>
      <c r="P28" s="493">
        <f>Total_Agent_Basic/10</f>
        <v>10.505006962766007</v>
      </c>
      <c r="Q28" s="275">
        <f>N28/6</f>
        <v>12.894736842105262</v>
      </c>
      <c r="R28" s="275">
        <f>N28/10</f>
        <v>7.7368421052631575</v>
      </c>
      <c r="S28" s="276">
        <f>IF(brand="thorn",Z28,IF(brand="lpg",AC28,0))</f>
        <v>1</v>
      </c>
      <c r="T28" s="277">
        <v>2</v>
      </c>
      <c r="U28" s="275">
        <f>N28/T28</f>
        <v>38.684210526315788</v>
      </c>
      <c r="V28" s="275">
        <f>U28/6</f>
        <v>6.447368421052631</v>
      </c>
      <c r="W28" s="275">
        <f>U28/10</f>
        <v>3.8684210526315788</v>
      </c>
      <c r="X28" s="282">
        <f>ROUNDUP(I28/93,0)</f>
        <v>1</v>
      </c>
      <c r="Y28" s="282">
        <f>IF((N28/X28)&lt;100,X28,ROUNDUP(N28/100,0))</f>
        <v>1</v>
      </c>
      <c r="Z28" s="282">
        <f>MAX(X28,Y28)</f>
        <v>1</v>
      </c>
      <c r="AA28" s="282">
        <f>ROUNDUP(I28/36,0)</f>
        <v>2</v>
      </c>
      <c r="AB28" s="282">
        <f>IF((N28/AA28)&lt;100,AA28,ROUNDUP(N28/100,0))</f>
        <v>2</v>
      </c>
      <c r="AC28" s="282">
        <f>MAX(AA28,AB28)</f>
        <v>2</v>
      </c>
    </row>
    <row r="29" spans="1:29" ht="24.95" customHeight="1">
      <c r="A29" s="284">
        <f>'Protected Areas'!A37</f>
        <v>2</v>
      </c>
      <c r="B29" s="481" t="str">
        <f>'Protected Areas'!B37:E37</f>
        <v>Server Room, Suspend Ceiling</v>
      </c>
      <c r="C29" s="481"/>
      <c r="D29" s="481"/>
      <c r="E29" s="481"/>
      <c r="F29" s="280">
        <f>'Protected Areas'!F37</f>
        <v>10</v>
      </c>
      <c r="G29" s="280">
        <f>'Protected Areas'!G37</f>
        <v>5</v>
      </c>
      <c r="H29" s="280">
        <f>'Protected Areas'!H37</f>
        <v>0.4</v>
      </c>
      <c r="I29" s="209">
        <f>IF(Number_of_Hazard&gt;=2,F29*G29,0)</f>
        <v>50</v>
      </c>
      <c r="J29" s="209">
        <f>IF(Number_of_Hazard&gt;=2,F29*G29*H29,0)</f>
        <v>20</v>
      </c>
      <c r="K29" s="280">
        <v>0</v>
      </c>
      <c r="L29" s="209">
        <f t="shared" ref="L29:L32" si="0">J29-K29</f>
        <v>20</v>
      </c>
      <c r="M29" s="215">
        <f>IF(Number_of_Hazard&gt;=2,(Total.Volume.2/Total.Volume),0)</f>
        <v>0.10526315789473684</v>
      </c>
      <c r="N29" s="259">
        <f>Total_Agent*Volume_02_percent</f>
        <v>10.315789473684211</v>
      </c>
      <c r="O29" s="494"/>
      <c r="P29" s="494"/>
      <c r="Q29" s="275">
        <f>N29/6</f>
        <v>1.7192982456140351</v>
      </c>
      <c r="R29" s="275">
        <f>N29/10</f>
        <v>1.0315789473684212</v>
      </c>
      <c r="S29" s="276">
        <f>IF(brand="thorn",Z29,IF(brand="lpg",AC29,0))</f>
        <v>1</v>
      </c>
      <c r="T29" s="277">
        <v>1</v>
      </c>
      <c r="U29" s="275">
        <f>N29/T29</f>
        <v>10.315789473684211</v>
      </c>
      <c r="V29" s="275">
        <f>U29/6</f>
        <v>1.7192982456140351</v>
      </c>
      <c r="W29" s="275">
        <f>U29/10</f>
        <v>1.0315789473684212</v>
      </c>
      <c r="X29" s="282">
        <f>ROUNDUP(I29/93,0)</f>
        <v>1</v>
      </c>
      <c r="Y29" s="282">
        <f t="shared" ref="Y29:Y32" si="1">IF((N29/X29)&lt;100,X29,ROUNDUP(N29/100,0))</f>
        <v>1</v>
      </c>
      <c r="Z29" s="282">
        <f t="shared" ref="Z29:Z32" si="2">MAX(X29,Y29)</f>
        <v>1</v>
      </c>
      <c r="AA29" s="282">
        <f>ROUNDUP(I29/36,0)</f>
        <v>2</v>
      </c>
      <c r="AB29" s="282">
        <f t="shared" ref="AB29:AB32" si="3">IF((N29/AA29)&lt;100,AA29,ROUNDUP(N29/100,0))</f>
        <v>2</v>
      </c>
      <c r="AC29" s="282">
        <f t="shared" ref="AC29:AC32" si="4">MAX(AA29,AB29)</f>
        <v>2</v>
      </c>
    </row>
    <row r="30" spans="1:29" ht="24.95" customHeight="1">
      <c r="A30" s="284">
        <f>'Protected Areas'!A38</f>
        <v>3</v>
      </c>
      <c r="B30" s="481" t="str">
        <f>'Protected Areas'!B38:E38</f>
        <v>Server Room, Rised Floor</v>
      </c>
      <c r="C30" s="481"/>
      <c r="D30" s="481"/>
      <c r="E30" s="481"/>
      <c r="F30" s="280">
        <f>'Protected Areas'!F38</f>
        <v>10</v>
      </c>
      <c r="G30" s="280">
        <f>'Protected Areas'!G38</f>
        <v>5</v>
      </c>
      <c r="H30" s="280">
        <f>'Protected Areas'!H38</f>
        <v>0.4</v>
      </c>
      <c r="I30" s="209">
        <f>IF(Number_of_Hazard&gt;=3,F30*G30,0)</f>
        <v>50</v>
      </c>
      <c r="J30" s="209">
        <f>IF(Number_of_Hazard&gt;=3,F30*G30*H30,0)</f>
        <v>20</v>
      </c>
      <c r="K30" s="280">
        <v>0</v>
      </c>
      <c r="L30" s="209">
        <f t="shared" si="0"/>
        <v>20</v>
      </c>
      <c r="M30" s="215">
        <f>IF(Number_of_Hazard&gt;=3,(Total.Volume.3/Total.Volume),0)</f>
        <v>0.10526315789473684</v>
      </c>
      <c r="N30" s="259">
        <f>Total_Agent*Volume_03_percent</f>
        <v>10.315789473684211</v>
      </c>
      <c r="O30" s="494"/>
      <c r="P30" s="494"/>
      <c r="Q30" s="275">
        <f>N30/6</f>
        <v>1.7192982456140351</v>
      </c>
      <c r="R30" s="275">
        <f>N30/10</f>
        <v>1.0315789473684212</v>
      </c>
      <c r="S30" s="276">
        <f>IF(brand="thorn",Z30,IF(brand="lpg",AC30,0))</f>
        <v>1</v>
      </c>
      <c r="T30" s="277">
        <v>1</v>
      </c>
      <c r="U30" s="275">
        <f>N30/T30</f>
        <v>10.315789473684211</v>
      </c>
      <c r="V30" s="275">
        <f>U30/6</f>
        <v>1.7192982456140351</v>
      </c>
      <c r="W30" s="275">
        <f>U30/10</f>
        <v>1.0315789473684212</v>
      </c>
      <c r="X30" s="282">
        <f>ROUNDUP(I30/93,0)</f>
        <v>1</v>
      </c>
      <c r="Y30" s="282">
        <f t="shared" si="1"/>
        <v>1</v>
      </c>
      <c r="Z30" s="282">
        <f t="shared" si="2"/>
        <v>1</v>
      </c>
      <c r="AA30" s="282">
        <f>ROUNDUP(I30/36,0)</f>
        <v>2</v>
      </c>
      <c r="AB30" s="282">
        <f t="shared" si="3"/>
        <v>2</v>
      </c>
      <c r="AC30" s="282">
        <f t="shared" si="4"/>
        <v>2</v>
      </c>
    </row>
    <row r="31" spans="1:29" ht="24.95" customHeight="1">
      <c r="A31" s="284">
        <f>'Protected Areas'!A39</f>
        <v>0</v>
      </c>
      <c r="B31" s="481">
        <f>'Protected Areas'!B39:E39</f>
        <v>0</v>
      </c>
      <c r="C31" s="481"/>
      <c r="D31" s="481"/>
      <c r="E31" s="481"/>
      <c r="F31" s="280">
        <f>'Protected Areas'!F39</f>
        <v>0</v>
      </c>
      <c r="G31" s="280">
        <f>'Protected Areas'!G39</f>
        <v>0</v>
      </c>
      <c r="H31" s="280">
        <f>'Protected Areas'!H39</f>
        <v>0</v>
      </c>
      <c r="I31" s="209">
        <f>IF(Number_of_Hazard&gt;=4,F31*G31,0)</f>
        <v>0</v>
      </c>
      <c r="J31" s="209">
        <f>IF(Number_of_Hazard&gt;=4,F31*G31*H31,0)</f>
        <v>0</v>
      </c>
      <c r="K31" s="280">
        <v>0</v>
      </c>
      <c r="L31" s="209">
        <f t="shared" si="0"/>
        <v>0</v>
      </c>
      <c r="M31" s="215">
        <f>IF(Number_of_Hazard&gt;=4,(Total.Volume.4/Total.Volume),0)</f>
        <v>0</v>
      </c>
      <c r="N31" s="259">
        <f>Total_Agent*Volume_04_percent</f>
        <v>0</v>
      </c>
      <c r="O31" s="494"/>
      <c r="P31" s="494"/>
      <c r="Q31" s="275">
        <f>N31/6</f>
        <v>0</v>
      </c>
      <c r="R31" s="275">
        <f>N31/10</f>
        <v>0</v>
      </c>
      <c r="S31" s="276" t="e">
        <f>IF(brand="thorn",Z31,IF(brand="lpg",AC31,0))</f>
        <v>#DIV/0!</v>
      </c>
      <c r="T31" s="277"/>
      <c r="U31" s="275" t="e">
        <f>N31/T31</f>
        <v>#DIV/0!</v>
      </c>
      <c r="V31" s="275" t="e">
        <f>U31/6</f>
        <v>#DIV/0!</v>
      </c>
      <c r="W31" s="275" t="e">
        <f>U31/10</f>
        <v>#DIV/0!</v>
      </c>
      <c r="X31" s="282">
        <f>ROUNDUP(I31/93,0)</f>
        <v>0</v>
      </c>
      <c r="Y31" s="282" t="e">
        <f t="shared" si="1"/>
        <v>#DIV/0!</v>
      </c>
      <c r="Z31" s="282" t="e">
        <f t="shared" si="2"/>
        <v>#DIV/0!</v>
      </c>
      <c r="AA31" s="282">
        <f>ROUNDUP(I31/36,0)</f>
        <v>0</v>
      </c>
      <c r="AB31" s="282" t="e">
        <f t="shared" si="3"/>
        <v>#DIV/0!</v>
      </c>
      <c r="AC31" s="282" t="e">
        <f t="shared" si="4"/>
        <v>#DIV/0!</v>
      </c>
    </row>
    <row r="32" spans="1:29" ht="24.95" customHeight="1">
      <c r="A32" s="284">
        <f>'Protected Areas'!A40</f>
        <v>0</v>
      </c>
      <c r="B32" s="481">
        <f>'Protected Areas'!B40:E40</f>
        <v>0</v>
      </c>
      <c r="C32" s="481"/>
      <c r="D32" s="481"/>
      <c r="E32" s="481"/>
      <c r="F32" s="280">
        <f>'Protected Areas'!F40</f>
        <v>0</v>
      </c>
      <c r="G32" s="280">
        <f>'Protected Areas'!G40</f>
        <v>0</v>
      </c>
      <c r="H32" s="280">
        <f>'Protected Areas'!H40</f>
        <v>0</v>
      </c>
      <c r="I32" s="209">
        <f>IF(Number_of_Hazard&gt;=5,F32*G32,0)</f>
        <v>0</v>
      </c>
      <c r="J32" s="209">
        <f>IF(Number_of_Hazard&gt;=5,F32*G32*H32,0)</f>
        <v>0</v>
      </c>
      <c r="K32" s="280">
        <v>0</v>
      </c>
      <c r="L32" s="209">
        <f t="shared" si="0"/>
        <v>0</v>
      </c>
      <c r="M32" s="215">
        <f>IF(Number_of_Hazard&gt;=5,(Total.Volume.5/Total.Volume),0)</f>
        <v>0</v>
      </c>
      <c r="N32" s="259">
        <f>Total_Agent*Volume_05_percent</f>
        <v>0</v>
      </c>
      <c r="O32" s="495"/>
      <c r="P32" s="495"/>
      <c r="Q32" s="275">
        <f>N32/6</f>
        <v>0</v>
      </c>
      <c r="R32" s="275">
        <f>N32/10</f>
        <v>0</v>
      </c>
      <c r="S32" s="276" t="e">
        <f>IF(brand="thorn",Z32,IF(brand="lpg",AC32,0))</f>
        <v>#DIV/0!</v>
      </c>
      <c r="T32" s="277"/>
      <c r="U32" s="275" t="e">
        <f>N32/T32</f>
        <v>#DIV/0!</v>
      </c>
      <c r="V32" s="275" t="e">
        <f>U32/6</f>
        <v>#DIV/0!</v>
      </c>
      <c r="W32" s="275" t="e">
        <f>U32/10</f>
        <v>#DIV/0!</v>
      </c>
      <c r="X32" s="282">
        <f>ROUNDUP(I32/93,0)</f>
        <v>0</v>
      </c>
      <c r="Y32" s="282" t="e">
        <f t="shared" si="1"/>
        <v>#DIV/0!</v>
      </c>
      <c r="Z32" s="282" t="e">
        <f t="shared" si="2"/>
        <v>#DIV/0!</v>
      </c>
      <c r="AA32" s="282">
        <f>ROUNDUP(I32/36,0)</f>
        <v>0</v>
      </c>
      <c r="AB32" s="282" t="e">
        <f t="shared" si="3"/>
        <v>#DIV/0!</v>
      </c>
      <c r="AC32" s="282" t="e">
        <f t="shared" si="4"/>
        <v>#DIV/0!</v>
      </c>
    </row>
    <row r="35" spans="8:22" ht="20.100000000000001" customHeight="1">
      <c r="S35" s="399" t="s">
        <v>526</v>
      </c>
      <c r="T35" s="417"/>
      <c r="U35" s="400"/>
      <c r="V35" s="289">
        <f>IF(Number_of_Hazard=1,T28,IF(Number_of_Hazard=2,T28+T29,IF(Number_of_Hazard=3,T28+T29+T30,IF(Number_of_Hazard=4,T28+T29+T30+T31,IF(Number_of_Hazard=5,T28+T29+T30+T31+T32)))))</f>
        <v>4</v>
      </c>
    </row>
    <row r="36" spans="8:22" ht="20.100000000000001" customHeight="1">
      <c r="T36" s="254"/>
      <c r="U36" s="254"/>
      <c r="V36" s="254"/>
    </row>
    <row r="39" spans="8:22">
      <c r="H39" s="282"/>
      <c r="I39" s="282">
        <f>F30*G30</f>
        <v>50</v>
      </c>
    </row>
    <row r="40" spans="8:22">
      <c r="H40" s="282"/>
      <c r="I40" s="282">
        <f t="shared" ref="I40:I41" si="5">F31*G31</f>
        <v>0</v>
      </c>
    </row>
    <row r="41" spans="8:22">
      <c r="H41" s="282"/>
      <c r="I41" s="282">
        <f t="shared" si="5"/>
        <v>0</v>
      </c>
    </row>
    <row r="42" spans="8:22">
      <c r="H42" s="282"/>
      <c r="I42" s="282"/>
    </row>
    <row r="43" spans="8:22">
      <c r="H43" s="282"/>
      <c r="I43" s="282"/>
    </row>
    <row r="44" spans="8:22">
      <c r="H44" s="282"/>
      <c r="I44" s="282"/>
    </row>
  </sheetData>
  <sheetProtection password="8BE7" sheet="1" objects="1" scenarios="1"/>
  <mergeCells count="44">
    <mergeCell ref="S35:U35"/>
    <mergeCell ref="A4:W4"/>
    <mergeCell ref="A5:W5"/>
    <mergeCell ref="A6:W6"/>
    <mergeCell ref="C13:R17"/>
    <mergeCell ref="O28:O32"/>
    <mergeCell ref="P28:P32"/>
    <mergeCell ref="B30:E30"/>
    <mergeCell ref="B31:E31"/>
    <mergeCell ref="B32:E32"/>
    <mergeCell ref="N25:N26"/>
    <mergeCell ref="I25:I26"/>
    <mergeCell ref="J25:J26"/>
    <mergeCell ref="K25:K26"/>
    <mergeCell ref="L25:L26"/>
    <mergeCell ref="M25:M26"/>
    <mergeCell ref="X5:Z5"/>
    <mergeCell ref="U21:V21"/>
    <mergeCell ref="T22:U22"/>
    <mergeCell ref="O27:P27"/>
    <mergeCell ref="Q27:R27"/>
    <mergeCell ref="V27:W27"/>
    <mergeCell ref="O25:P25"/>
    <mergeCell ref="Q25:R25"/>
    <mergeCell ref="S25:T25"/>
    <mergeCell ref="U25:U26"/>
    <mergeCell ref="V25:W25"/>
    <mergeCell ref="A20:D20"/>
    <mergeCell ref="T20:U20"/>
    <mergeCell ref="U24:V24"/>
    <mergeCell ref="B29:E29"/>
    <mergeCell ref="B28:E28"/>
    <mergeCell ref="A25:A27"/>
    <mergeCell ref="B25:E27"/>
    <mergeCell ref="F25:F26"/>
    <mergeCell ref="G25:G26"/>
    <mergeCell ref="H25:H26"/>
    <mergeCell ref="A11:F11"/>
    <mergeCell ref="M9:N9"/>
    <mergeCell ref="A7:K7"/>
    <mergeCell ref="M7:N7"/>
    <mergeCell ref="A8:D8"/>
    <mergeCell ref="F8:H8"/>
    <mergeCell ref="M8:N8"/>
  </mergeCells>
  <conditionalFormatting sqref="F28:H32">
    <cfRule type="cellIs" dxfId="11" priority="5" stopIfTrue="1" operator="lessThanOrEqual">
      <formula>0</formula>
    </cfRule>
  </conditionalFormatting>
  <conditionalFormatting sqref="Q32:W32 A32:N32">
    <cfRule type="expression" dxfId="10" priority="4">
      <formula>$E$20&lt;5</formula>
    </cfRule>
  </conditionalFormatting>
  <conditionalFormatting sqref="Q31:W31 A31:N31">
    <cfRule type="expression" dxfId="9" priority="3">
      <formula>$E$20&lt;4</formula>
    </cfRule>
  </conditionalFormatting>
  <conditionalFormatting sqref="Q30:W30 A30:N30">
    <cfRule type="expression" dxfId="8" priority="2">
      <formula>$E$20&lt;3</formula>
    </cfRule>
  </conditionalFormatting>
  <conditionalFormatting sqref="Q29:W29 A29:N29">
    <cfRule type="expression" dxfId="7" priority="1">
      <formula>$E$20&lt;2</formula>
    </cfRule>
  </conditionalFormatting>
  <hyperlinks>
    <hyperlink ref="X5:Z5" location="'Protected Areas'!A1" display="back to PROTECTED AREAS" xr:uid="{00000000-0004-0000-0400-000000000000}"/>
  </hyperlinks>
  <printOptions horizontalCentered="1"/>
  <pageMargins left="0.5" right="0.5" top="0.5" bottom="0.5" header="0.5" footer="0.5"/>
  <pageSetup paperSize="9" scale="65" orientation="landscape" horizontalDpi="300" verticalDpi="300" r:id="rId1"/>
  <headerFooter alignWithMargins="0">
    <oddHeader>&amp;L&amp;G</oddHeader>
    <oddFooter xml:space="preserve">&amp;L&amp;"+,Regular"&amp;8Tel  : +98 (21) 4420 1601
&amp;K00+000Tel  : &amp;K000000+98 (21) 4420 1768
Fax : +98 (21) 4420 1934&amp;C&amp;"+,Regular"&amp;8-3-&amp;R&amp;"+,Regular"&amp;8Design by Ali Cheraghi
                 ( BSEE )                  </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59999389629810485"/>
    <pageSetUpPr fitToPage="1"/>
  </sheetPr>
  <dimension ref="A1:T28"/>
  <sheetViews>
    <sheetView showGridLines="0" view="pageBreakPreview" zoomScale="115" zoomScaleNormal="100" zoomScaleSheetLayoutView="115" workbookViewId="0">
      <pane ySplit="12" topLeftCell="A13" activePane="bottomLeft" state="frozen"/>
      <selection pane="bottomLeft" activeCell="P5" sqref="P5:T5"/>
    </sheetView>
  </sheetViews>
  <sheetFormatPr defaultColWidth="8.85546875" defaultRowHeight="12.75"/>
  <cols>
    <col min="1" max="1" width="11.140625" style="78" customWidth="1"/>
    <col min="2" max="2" width="12.28515625" style="78" hidden="1" customWidth="1"/>
    <col min="3" max="3" width="5.7109375" style="78" customWidth="1"/>
    <col min="4" max="4" width="2.7109375" style="80" bestFit="1" customWidth="1"/>
    <col min="5" max="5" width="5.7109375" style="80" customWidth="1"/>
    <col min="6" max="6" width="11.7109375" style="78" customWidth="1"/>
    <col min="7" max="8" width="5.7109375" style="78" customWidth="1"/>
    <col min="9" max="10" width="8.85546875" style="78"/>
    <col min="11" max="12" width="6.7109375" style="78" customWidth="1"/>
    <col min="13" max="14" width="7.7109375" style="78" customWidth="1"/>
    <col min="15" max="16384" width="8.85546875" style="78"/>
  </cols>
  <sheetData>
    <row r="1" spans="1:20" ht="34.9" customHeight="1">
      <c r="A1" s="505" t="s">
        <v>505</v>
      </c>
      <c r="B1" s="506"/>
      <c r="C1" s="506"/>
      <c r="D1" s="506"/>
      <c r="E1" s="506"/>
      <c r="F1" s="506"/>
      <c r="G1" s="506"/>
      <c r="H1" s="506"/>
      <c r="I1" s="506"/>
      <c r="J1" s="506"/>
      <c r="K1" s="506"/>
      <c r="L1" s="506"/>
      <c r="M1" s="506"/>
      <c r="N1" s="506"/>
    </row>
    <row r="2" spans="1:20" s="239" customFormat="1" ht="34.9" customHeight="1">
      <c r="A2" s="519" t="s">
        <v>506</v>
      </c>
      <c r="B2" s="519"/>
      <c r="C2" s="519"/>
      <c r="D2" s="519"/>
      <c r="E2" s="519"/>
      <c r="F2" s="519"/>
      <c r="G2" s="519"/>
      <c r="H2" s="519"/>
      <c r="I2" s="519"/>
      <c r="J2" s="519"/>
      <c r="K2" s="519"/>
      <c r="L2" s="519"/>
      <c r="M2" s="519"/>
      <c r="N2" s="519"/>
    </row>
    <row r="3" spans="1:20" ht="10.15" customHeight="1">
      <c r="A3" s="82"/>
      <c r="B3" s="83"/>
      <c r="C3" s="83"/>
      <c r="D3" s="83"/>
      <c r="E3" s="83"/>
      <c r="F3" s="83"/>
      <c r="G3" s="83"/>
      <c r="H3" s="83"/>
      <c r="I3" s="83"/>
      <c r="J3" s="83"/>
      <c r="K3" s="83"/>
      <c r="L3" s="83"/>
      <c r="M3" s="83"/>
      <c r="N3" s="83"/>
    </row>
    <row r="4" spans="1:20" ht="15" customHeight="1">
      <c r="A4" s="497" t="s">
        <v>338</v>
      </c>
      <c r="B4" s="497"/>
      <c r="C4" s="497"/>
      <c r="D4" s="497"/>
      <c r="E4" s="497"/>
      <c r="F4" s="497"/>
      <c r="G4" s="497"/>
      <c r="H4" s="497"/>
      <c r="I4" s="497"/>
      <c r="J4" s="497"/>
      <c r="K4" s="497"/>
      <c r="L4" s="497"/>
      <c r="M4" s="497"/>
      <c r="N4" s="497"/>
    </row>
    <row r="5" spans="1:20" ht="13.15" customHeight="1">
      <c r="P5" s="502" t="s">
        <v>507</v>
      </c>
      <c r="Q5" s="502"/>
      <c r="R5" s="502"/>
      <c r="S5" s="502"/>
      <c r="T5" s="502"/>
    </row>
    <row r="6" spans="1:20" ht="13.15" customHeight="1">
      <c r="A6" s="498" t="s">
        <v>276</v>
      </c>
      <c r="B6" s="499"/>
      <c r="C6" s="513">
        <f>IF(brand="thorn",Total_Agent,0)</f>
        <v>98</v>
      </c>
      <c r="D6" s="514"/>
      <c r="E6" s="182" t="s">
        <v>349</v>
      </c>
      <c r="F6" s="81"/>
      <c r="G6" s="84"/>
      <c r="H6" s="84"/>
      <c r="I6" s="84"/>
      <c r="J6" s="498" t="s">
        <v>397</v>
      </c>
      <c r="K6" s="499"/>
      <c r="L6" s="515">
        <f>IF(brand="thorn",Cylinder_Size,0)</f>
        <v>147</v>
      </c>
      <c r="M6" s="516"/>
      <c r="N6" s="73" t="s">
        <v>301</v>
      </c>
    </row>
    <row r="7" spans="1:20" ht="13.15" customHeight="1">
      <c r="A7" s="81"/>
      <c r="B7" s="81"/>
      <c r="C7" s="81"/>
      <c r="D7" s="81"/>
      <c r="E7" s="81"/>
      <c r="F7" s="81"/>
      <c r="G7" s="84"/>
      <c r="H7" s="84"/>
      <c r="I7" s="84"/>
      <c r="J7" s="508" t="s">
        <v>377</v>
      </c>
      <c r="K7" s="509"/>
      <c r="L7" s="517">
        <f>IF(brand="thorn",Number_of_Cylinder,0)</f>
        <v>1</v>
      </c>
      <c r="M7" s="518"/>
      <c r="N7" s="84"/>
    </row>
    <row r="8" spans="1:20" ht="13.15" customHeight="1"/>
    <row r="9" spans="1:20" ht="15" customHeight="1">
      <c r="A9" s="507" t="str">
        <f>IF(brand="thorn","",IF(brand="lpg","Please going to LPG Cylinder Tab for Cylinder Selection","Please Select Correct Cylinder Size"))</f>
        <v/>
      </c>
      <c r="B9" s="507"/>
      <c r="C9" s="507"/>
      <c r="D9" s="507"/>
      <c r="E9" s="507"/>
      <c r="F9" s="507"/>
      <c r="G9" s="507"/>
      <c r="H9" s="507"/>
      <c r="I9" s="507"/>
      <c r="J9" s="507"/>
      <c r="K9" s="507"/>
      <c r="L9" s="507"/>
      <c r="M9" s="507"/>
      <c r="N9" s="507"/>
    </row>
    <row r="10" spans="1:20" ht="13.15" customHeight="1" thickBot="1"/>
    <row r="11" spans="1:20" ht="20.100000000000001" customHeight="1">
      <c r="A11" s="503" t="s">
        <v>374</v>
      </c>
      <c r="B11" s="85" t="s">
        <v>215</v>
      </c>
      <c r="C11" s="500" t="s">
        <v>302</v>
      </c>
      <c r="D11" s="500"/>
      <c r="E11" s="500"/>
      <c r="F11" s="500"/>
      <c r="G11" s="500" t="s">
        <v>210</v>
      </c>
      <c r="H11" s="500"/>
      <c r="I11" s="500" t="s">
        <v>212</v>
      </c>
      <c r="J11" s="500"/>
      <c r="K11" s="500" t="s">
        <v>213</v>
      </c>
      <c r="L11" s="500"/>
      <c r="M11" s="500" t="s">
        <v>214</v>
      </c>
      <c r="N11" s="501"/>
    </row>
    <row r="12" spans="1:20" ht="12" customHeight="1" thickBot="1">
      <c r="A12" s="504"/>
      <c r="B12" s="86"/>
      <c r="C12" s="510" t="s">
        <v>2</v>
      </c>
      <c r="D12" s="511"/>
      <c r="E12" s="512"/>
      <c r="F12" s="86" t="s">
        <v>303</v>
      </c>
      <c r="G12" s="86" t="s">
        <v>211</v>
      </c>
      <c r="H12" s="86" t="s">
        <v>304</v>
      </c>
      <c r="I12" s="86" t="s">
        <v>211</v>
      </c>
      <c r="J12" s="86" t="s">
        <v>304</v>
      </c>
      <c r="K12" s="86" t="s">
        <v>211</v>
      </c>
      <c r="L12" s="86" t="s">
        <v>304</v>
      </c>
      <c r="M12" s="86" t="s">
        <v>2</v>
      </c>
      <c r="N12" s="87" t="s">
        <v>305</v>
      </c>
    </row>
    <row r="13" spans="1:20" ht="19.899999999999999" customHeight="1">
      <c r="A13" s="101" t="s">
        <v>327</v>
      </c>
      <c r="B13" s="102" t="s">
        <v>335</v>
      </c>
      <c r="C13" s="102">
        <v>2.2999999999999998</v>
      </c>
      <c r="D13" s="146" t="s">
        <v>401</v>
      </c>
      <c r="E13" s="149">
        <v>4.5</v>
      </c>
      <c r="F13" s="104" t="s">
        <v>306</v>
      </c>
      <c r="G13" s="103">
        <v>25</v>
      </c>
      <c r="H13" s="103" t="s">
        <v>307</v>
      </c>
      <c r="I13" s="103">
        <v>280</v>
      </c>
      <c r="J13" s="103" t="s">
        <v>308</v>
      </c>
      <c r="K13" s="103">
        <v>178</v>
      </c>
      <c r="L13" s="103" t="s">
        <v>309</v>
      </c>
      <c r="M13" s="103">
        <v>7.7</v>
      </c>
      <c r="N13" s="105">
        <v>17</v>
      </c>
    </row>
    <row r="14" spans="1:20" ht="19.899999999999999" customHeight="1">
      <c r="A14" s="88" t="s">
        <v>328</v>
      </c>
      <c r="B14" s="97" t="s">
        <v>174</v>
      </c>
      <c r="C14" s="97">
        <v>4</v>
      </c>
      <c r="D14" s="147" t="s">
        <v>401</v>
      </c>
      <c r="E14" s="150">
        <v>8</v>
      </c>
      <c r="F14" s="99" t="s">
        <v>198</v>
      </c>
      <c r="G14" s="89">
        <v>25</v>
      </c>
      <c r="H14" s="89" t="s">
        <v>307</v>
      </c>
      <c r="I14" s="89">
        <v>304</v>
      </c>
      <c r="J14" s="89" t="s">
        <v>310</v>
      </c>
      <c r="K14" s="89">
        <v>254</v>
      </c>
      <c r="L14" s="89" t="s">
        <v>311</v>
      </c>
      <c r="M14" s="89">
        <v>14.8</v>
      </c>
      <c r="N14" s="90">
        <v>32.6</v>
      </c>
    </row>
    <row r="15" spans="1:20" ht="19.899999999999999" customHeight="1">
      <c r="A15" s="88" t="s">
        <v>329</v>
      </c>
      <c r="B15" s="97" t="s">
        <v>175</v>
      </c>
      <c r="C15" s="97">
        <v>8</v>
      </c>
      <c r="D15" s="147" t="s">
        <v>401</v>
      </c>
      <c r="E15" s="150">
        <v>16</v>
      </c>
      <c r="F15" s="99" t="s">
        <v>199</v>
      </c>
      <c r="G15" s="89">
        <v>25</v>
      </c>
      <c r="H15" s="89" t="s">
        <v>307</v>
      </c>
      <c r="I15" s="89">
        <v>502</v>
      </c>
      <c r="J15" s="89" t="s">
        <v>312</v>
      </c>
      <c r="K15" s="89">
        <v>254</v>
      </c>
      <c r="L15" s="89" t="s">
        <v>311</v>
      </c>
      <c r="M15" s="89">
        <v>18.399999999999999</v>
      </c>
      <c r="N15" s="90">
        <v>40.6</v>
      </c>
    </row>
    <row r="16" spans="1:20" ht="19.899999999999999" customHeight="1">
      <c r="A16" s="88" t="s">
        <v>330</v>
      </c>
      <c r="B16" s="97" t="s">
        <v>176</v>
      </c>
      <c r="C16" s="97">
        <v>16</v>
      </c>
      <c r="D16" s="147" t="s">
        <v>401</v>
      </c>
      <c r="E16" s="150">
        <v>32</v>
      </c>
      <c r="F16" s="99" t="s">
        <v>200</v>
      </c>
      <c r="G16" s="89">
        <v>25</v>
      </c>
      <c r="H16" s="89" t="s">
        <v>307</v>
      </c>
      <c r="I16" s="89">
        <v>833</v>
      </c>
      <c r="J16" s="89" t="s">
        <v>313</v>
      </c>
      <c r="K16" s="89">
        <v>254</v>
      </c>
      <c r="L16" s="89" t="s">
        <v>311</v>
      </c>
      <c r="M16" s="89">
        <v>26.1</v>
      </c>
      <c r="N16" s="90">
        <v>57.5</v>
      </c>
    </row>
    <row r="17" spans="1:14" ht="19.899999999999999" customHeight="1">
      <c r="A17" s="88" t="s">
        <v>336</v>
      </c>
      <c r="B17" s="97" t="s">
        <v>177</v>
      </c>
      <c r="C17" s="97">
        <v>20</v>
      </c>
      <c r="D17" s="147" t="s">
        <v>401</v>
      </c>
      <c r="E17" s="150">
        <v>40</v>
      </c>
      <c r="F17" s="99" t="s">
        <v>201</v>
      </c>
      <c r="G17" s="89">
        <v>50</v>
      </c>
      <c r="H17" s="89" t="s">
        <v>314</v>
      </c>
      <c r="I17" s="89">
        <v>1352</v>
      </c>
      <c r="J17" s="89" t="s">
        <v>315</v>
      </c>
      <c r="K17" s="89">
        <v>227.2</v>
      </c>
      <c r="L17" s="89" t="s">
        <v>316</v>
      </c>
      <c r="M17" s="89">
        <v>52.2</v>
      </c>
      <c r="N17" s="90">
        <v>115</v>
      </c>
    </row>
    <row r="18" spans="1:14" ht="19.899999999999999" customHeight="1">
      <c r="A18" s="88" t="s">
        <v>331</v>
      </c>
      <c r="B18" s="97" t="s">
        <v>178</v>
      </c>
      <c r="C18" s="97">
        <v>26</v>
      </c>
      <c r="D18" s="147" t="s">
        <v>401</v>
      </c>
      <c r="E18" s="150">
        <v>52</v>
      </c>
      <c r="F18" s="99" t="s">
        <v>202</v>
      </c>
      <c r="G18" s="89">
        <v>50</v>
      </c>
      <c r="H18" s="89" t="s">
        <v>314</v>
      </c>
      <c r="I18" s="89">
        <v>596</v>
      </c>
      <c r="J18" s="89" t="s">
        <v>317</v>
      </c>
      <c r="K18" s="89">
        <v>406</v>
      </c>
      <c r="L18" s="89" t="s">
        <v>318</v>
      </c>
      <c r="M18" s="89">
        <v>49.1</v>
      </c>
      <c r="N18" s="90">
        <v>108.3</v>
      </c>
    </row>
    <row r="19" spans="1:14" ht="19.899999999999999" customHeight="1">
      <c r="A19" s="88" t="s">
        <v>406</v>
      </c>
      <c r="B19" s="97" t="s">
        <v>179</v>
      </c>
      <c r="C19" s="97">
        <v>33.799999999999997</v>
      </c>
      <c r="D19" s="147" t="s">
        <v>401</v>
      </c>
      <c r="E19" s="150">
        <v>67.5</v>
      </c>
      <c r="F19" s="99" t="s">
        <v>203</v>
      </c>
      <c r="G19" s="89">
        <v>50</v>
      </c>
      <c r="H19" s="89" t="s">
        <v>314</v>
      </c>
      <c r="I19" s="89">
        <v>1526</v>
      </c>
      <c r="J19" s="89" t="s">
        <v>319</v>
      </c>
      <c r="K19" s="89">
        <v>265</v>
      </c>
      <c r="L19" s="89" t="s">
        <v>320</v>
      </c>
      <c r="M19" s="89">
        <v>81.599999999999994</v>
      </c>
      <c r="N19" s="90">
        <v>180</v>
      </c>
    </row>
    <row r="20" spans="1:14" ht="19.899999999999999" customHeight="1">
      <c r="A20" s="88" t="s">
        <v>337</v>
      </c>
      <c r="B20" s="97" t="s">
        <v>180</v>
      </c>
      <c r="C20" s="97">
        <v>40</v>
      </c>
      <c r="D20" s="147" t="s">
        <v>401</v>
      </c>
      <c r="E20" s="150">
        <v>80</v>
      </c>
      <c r="F20" s="99" t="s">
        <v>204</v>
      </c>
      <c r="G20" s="89">
        <v>50</v>
      </c>
      <c r="H20" s="89" t="s">
        <v>314</v>
      </c>
      <c r="I20" s="89">
        <v>1685</v>
      </c>
      <c r="J20" s="89" t="s">
        <v>321</v>
      </c>
      <c r="K20" s="89">
        <v>276</v>
      </c>
      <c r="L20" s="89" t="s">
        <v>308</v>
      </c>
      <c r="M20" s="89">
        <v>95.3</v>
      </c>
      <c r="N20" s="90">
        <v>210</v>
      </c>
    </row>
    <row r="21" spans="1:14" ht="19.899999999999999" customHeight="1">
      <c r="A21" s="88" t="s">
        <v>332</v>
      </c>
      <c r="B21" s="97" t="s">
        <v>181</v>
      </c>
      <c r="C21" s="97">
        <v>53</v>
      </c>
      <c r="D21" s="147" t="s">
        <v>401</v>
      </c>
      <c r="E21" s="150">
        <v>106</v>
      </c>
      <c r="F21" s="99" t="s">
        <v>205</v>
      </c>
      <c r="G21" s="89">
        <v>50</v>
      </c>
      <c r="H21" s="89" t="s">
        <v>314</v>
      </c>
      <c r="I21" s="89">
        <v>1021</v>
      </c>
      <c r="J21" s="89" t="s">
        <v>322</v>
      </c>
      <c r="K21" s="89">
        <v>406</v>
      </c>
      <c r="L21" s="89" t="s">
        <v>318</v>
      </c>
      <c r="M21" s="89">
        <v>71.8</v>
      </c>
      <c r="N21" s="90">
        <v>158.30000000000001</v>
      </c>
    </row>
    <row r="22" spans="1:14" ht="19.899999999999999" customHeight="1">
      <c r="A22" s="88" t="s">
        <v>333</v>
      </c>
      <c r="B22" s="97" t="s">
        <v>182</v>
      </c>
      <c r="C22" s="97">
        <v>74</v>
      </c>
      <c r="D22" s="147" t="s">
        <v>401</v>
      </c>
      <c r="E22" s="150">
        <v>147</v>
      </c>
      <c r="F22" s="99" t="s">
        <v>206</v>
      </c>
      <c r="G22" s="89">
        <v>50</v>
      </c>
      <c r="H22" s="89" t="s">
        <v>314</v>
      </c>
      <c r="I22" s="89">
        <v>1354</v>
      </c>
      <c r="J22" s="89" t="s">
        <v>323</v>
      </c>
      <c r="K22" s="89">
        <v>406</v>
      </c>
      <c r="L22" s="89" t="s">
        <v>318</v>
      </c>
      <c r="M22" s="89">
        <v>89.9</v>
      </c>
      <c r="N22" s="90">
        <v>198.2</v>
      </c>
    </row>
    <row r="23" spans="1:14" ht="19.899999999999999" customHeight="1">
      <c r="A23" s="88" t="s">
        <v>334</v>
      </c>
      <c r="B23" s="97" t="s">
        <v>183</v>
      </c>
      <c r="C23" s="97">
        <v>90</v>
      </c>
      <c r="D23" s="147" t="s">
        <v>401</v>
      </c>
      <c r="E23" s="150">
        <v>180</v>
      </c>
      <c r="F23" s="99" t="s">
        <v>207</v>
      </c>
      <c r="G23" s="89">
        <v>50</v>
      </c>
      <c r="H23" s="89" t="s">
        <v>314</v>
      </c>
      <c r="I23" s="89">
        <v>1634</v>
      </c>
      <c r="J23" s="89" t="s">
        <v>324</v>
      </c>
      <c r="K23" s="89">
        <v>406</v>
      </c>
      <c r="L23" s="89" t="s">
        <v>318</v>
      </c>
      <c r="M23" s="89">
        <v>105.8</v>
      </c>
      <c r="N23" s="90">
        <v>233.2</v>
      </c>
    </row>
    <row r="24" spans="1:14" ht="19.899999999999999" customHeight="1" thickBot="1">
      <c r="A24" s="91" t="s">
        <v>379</v>
      </c>
      <c r="B24" s="98" t="s">
        <v>184</v>
      </c>
      <c r="C24" s="98">
        <v>172</v>
      </c>
      <c r="D24" s="148" t="s">
        <v>401</v>
      </c>
      <c r="E24" s="151">
        <v>343</v>
      </c>
      <c r="F24" s="100" t="s">
        <v>402</v>
      </c>
      <c r="G24" s="92">
        <v>89</v>
      </c>
      <c r="H24" s="92" t="s">
        <v>325</v>
      </c>
      <c r="I24" s="92">
        <v>1466</v>
      </c>
      <c r="J24" s="92">
        <v>57.7</v>
      </c>
      <c r="K24" s="92">
        <v>610</v>
      </c>
      <c r="L24" s="92" t="s">
        <v>326</v>
      </c>
      <c r="M24" s="92">
        <v>207</v>
      </c>
      <c r="N24" s="93">
        <v>456</v>
      </c>
    </row>
    <row r="26" spans="1:14">
      <c r="A26" s="94" t="s">
        <v>380</v>
      </c>
    </row>
    <row r="27" spans="1:14">
      <c r="A27" s="496"/>
      <c r="B27" s="496"/>
      <c r="C27" s="496"/>
      <c r="D27" s="496"/>
      <c r="E27" s="496"/>
      <c r="F27" s="496"/>
      <c r="G27" s="496"/>
      <c r="H27" s="496"/>
      <c r="I27" s="496"/>
      <c r="J27" s="496"/>
      <c r="K27" s="496"/>
      <c r="L27" s="496"/>
      <c r="M27" s="496"/>
      <c r="N27" s="496"/>
    </row>
    <row r="28" spans="1:14">
      <c r="A28" s="496"/>
      <c r="B28" s="496"/>
      <c r="C28" s="496"/>
      <c r="D28" s="496"/>
      <c r="E28" s="496"/>
      <c r="F28" s="496"/>
      <c r="G28" s="496"/>
      <c r="H28" s="496"/>
      <c r="I28" s="496"/>
      <c r="J28" s="496"/>
      <c r="K28" s="496"/>
      <c r="L28" s="496"/>
      <c r="M28" s="496"/>
      <c r="N28" s="496"/>
    </row>
  </sheetData>
  <sheetProtection algorithmName="SHA-512" hashValue="QEPNC/TXBkwKte2M9fkHJhtYh6xr6fMyrzRLMDG1Zn0WC1Ff3nIm7MWYvBGbtPBo0TSmG+XboWkaMIjMpZ4YWQ==" saltValue="mYmwwdRgc+1jSkeKEI5WSQ==" spinCount="100000" sheet="1" objects="1" scenarios="1"/>
  <mergeCells count="20">
    <mergeCell ref="P5:T5"/>
    <mergeCell ref="A11:A12"/>
    <mergeCell ref="A1:N1"/>
    <mergeCell ref="A9:N9"/>
    <mergeCell ref="J7:K7"/>
    <mergeCell ref="C12:E12"/>
    <mergeCell ref="C6:D6"/>
    <mergeCell ref="L6:M6"/>
    <mergeCell ref="L7:M7"/>
    <mergeCell ref="A2:N2"/>
    <mergeCell ref="A27:N27"/>
    <mergeCell ref="A28:N28"/>
    <mergeCell ref="A4:N4"/>
    <mergeCell ref="A6:B6"/>
    <mergeCell ref="J6:K6"/>
    <mergeCell ref="C11:F11"/>
    <mergeCell ref="G11:H11"/>
    <mergeCell ref="I11:J11"/>
    <mergeCell ref="K11:L11"/>
    <mergeCell ref="M11:N11"/>
  </mergeCells>
  <conditionalFormatting sqref="A9:N9">
    <cfRule type="expression" dxfId="6" priority="1">
      <formula>$L$6=0</formula>
    </cfRule>
  </conditionalFormatting>
  <hyperlinks>
    <hyperlink ref="P5:T5" location="'Protected Areas'!A1" display="back to CALCULATION sheet (Protected Areas)" xr:uid="{00000000-0004-0000-0500-000000000000}"/>
  </hyperlinks>
  <printOptions horizontalCentered="1"/>
  <pageMargins left="0.5" right="0.5" top="0.7" bottom="0.5" header="0.5" footer="0.5"/>
  <pageSetup paperSize="9" orientation="landscape" horizontalDpi="1200" verticalDpi="1200" r:id="rId1"/>
  <headerFooter scaleWithDoc="0">
    <oddHeader>&amp;L&amp;G</oddHeader>
    <oddFooter xml:space="preserve">&amp;L&amp;"Cambria,Regular"&amp;7Tel  : +98 (21) 4420 1601
&amp;K00+000Tel  :&amp;K000000 +98 (21) 4420 1768
Fax : +98 (21) 4420 1934&amp;C- 4 -&amp;R&amp;"+,Regular"&amp;7Design by Ali Cheraghi
                 ( BSEE )&amp;8                  </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59999389629810485"/>
    <pageSetUpPr fitToPage="1"/>
  </sheetPr>
  <dimension ref="A1:T39"/>
  <sheetViews>
    <sheetView showGridLines="0" view="pageBreakPreview" zoomScaleNormal="100" zoomScaleSheetLayoutView="100" workbookViewId="0">
      <pane ySplit="12" topLeftCell="A13" activePane="bottomLeft" state="frozen"/>
      <selection pane="bottomLeft" activeCell="A3" sqref="A1:A1048576"/>
    </sheetView>
  </sheetViews>
  <sheetFormatPr defaultColWidth="8.85546875" defaultRowHeight="12.75"/>
  <cols>
    <col min="1" max="1" width="9.85546875" style="78" hidden="1" customWidth="1"/>
    <col min="2" max="2" width="22.28515625" style="78" bestFit="1" customWidth="1"/>
    <col min="3" max="3" width="12.7109375" style="78" customWidth="1"/>
    <col min="4" max="4" width="14.7109375" style="78" customWidth="1"/>
    <col min="5" max="5" width="12.28515625" style="78" bestFit="1" customWidth="1"/>
    <col min="6" max="6" width="11" style="78" bestFit="1" customWidth="1"/>
    <col min="7" max="7" width="11.7109375" style="78" bestFit="1" customWidth="1"/>
    <col min="8" max="8" width="7.7109375" style="78" bestFit="1" customWidth="1"/>
    <col min="9" max="9" width="7.42578125" style="78" bestFit="1" customWidth="1"/>
    <col min="10" max="10" width="8.85546875" style="78"/>
    <col min="11" max="11" width="12.7109375" style="78" customWidth="1"/>
    <col min="12" max="12" width="8.7109375" style="78" customWidth="1"/>
    <col min="13" max="14" width="13.7109375" style="78" customWidth="1"/>
    <col min="15" max="16384" width="8.85546875" style="78"/>
  </cols>
  <sheetData>
    <row r="1" spans="1:20" ht="34.9" customHeight="1">
      <c r="A1" s="521" t="s">
        <v>376</v>
      </c>
      <c r="B1" s="522"/>
      <c r="C1" s="522"/>
      <c r="D1" s="522"/>
      <c r="E1" s="522"/>
      <c r="F1" s="522"/>
      <c r="G1" s="522"/>
      <c r="H1" s="522"/>
      <c r="I1" s="522"/>
      <c r="J1" s="522"/>
      <c r="K1" s="522"/>
      <c r="L1" s="522"/>
      <c r="M1" s="522"/>
      <c r="N1" s="522"/>
    </row>
    <row r="2" spans="1:20" s="239" customFormat="1" ht="34.9" customHeight="1">
      <c r="A2" s="605" t="s">
        <v>508</v>
      </c>
      <c r="B2" s="605"/>
      <c r="C2" s="605"/>
      <c r="D2" s="605"/>
      <c r="E2" s="605"/>
      <c r="F2" s="605"/>
      <c r="G2" s="605"/>
      <c r="H2" s="605"/>
      <c r="I2" s="605"/>
      <c r="J2" s="605"/>
      <c r="K2" s="605"/>
      <c r="L2" s="605"/>
      <c r="M2" s="605"/>
      <c r="N2" s="605"/>
    </row>
    <row r="3" spans="1:20" ht="10.15" customHeight="1">
      <c r="C3" s="82"/>
      <c r="D3" s="83"/>
      <c r="E3" s="83"/>
      <c r="F3" s="83"/>
      <c r="G3" s="83"/>
      <c r="H3" s="83"/>
      <c r="I3" s="83"/>
      <c r="J3" s="83"/>
      <c r="K3" s="83"/>
      <c r="L3" s="83"/>
      <c r="M3" s="83"/>
      <c r="N3" s="83"/>
    </row>
    <row r="4" spans="1:20" ht="15" customHeight="1">
      <c r="A4" s="523" t="s">
        <v>429</v>
      </c>
      <c r="B4" s="523"/>
      <c r="C4" s="523"/>
      <c r="D4" s="523"/>
      <c r="E4" s="523"/>
      <c r="F4" s="523"/>
      <c r="G4" s="523"/>
      <c r="H4" s="523"/>
      <c r="I4" s="523"/>
      <c r="J4" s="523"/>
      <c r="K4" s="523"/>
      <c r="L4" s="523"/>
      <c r="M4" s="523"/>
      <c r="N4" s="523"/>
    </row>
    <row r="5" spans="1:20" ht="15" customHeight="1"/>
    <row r="6" spans="1:20" ht="15" customHeight="1">
      <c r="A6" s="528" t="s">
        <v>276</v>
      </c>
      <c r="B6" s="529"/>
      <c r="C6" s="181">
        <f>IF(brand="lpg",Total_Agent,0)</f>
        <v>0</v>
      </c>
      <c r="D6" s="81" t="s">
        <v>373</v>
      </c>
      <c r="E6" s="610" t="s">
        <v>403</v>
      </c>
      <c r="F6" s="610"/>
      <c r="G6" s="610"/>
      <c r="H6" s="610"/>
      <c r="I6" s="610"/>
      <c r="K6" s="530" t="s">
        <v>397</v>
      </c>
      <c r="L6" s="531"/>
      <c r="M6" s="181">
        <f>IF(brand="lpg",Cylinder_Size,0)</f>
        <v>0</v>
      </c>
      <c r="N6" s="73" t="s">
        <v>301</v>
      </c>
      <c r="P6" s="502" t="s">
        <v>507</v>
      </c>
      <c r="Q6" s="502"/>
      <c r="R6" s="502"/>
      <c r="S6" s="502"/>
      <c r="T6" s="502"/>
    </row>
    <row r="7" spans="1:20" ht="15" customHeight="1">
      <c r="A7" s="81"/>
      <c r="B7" s="81"/>
      <c r="C7" s="81"/>
      <c r="D7" s="81"/>
      <c r="E7" s="84"/>
      <c r="F7" s="84"/>
      <c r="G7" s="84"/>
      <c r="K7" s="532" t="s">
        <v>377</v>
      </c>
      <c r="L7" s="533"/>
      <c r="M7" s="181">
        <f>IF(brand="lpg",Number_of_Cylinder,0)</f>
        <v>0</v>
      </c>
      <c r="N7" s="73"/>
    </row>
    <row r="8" spans="1:20" ht="15" customHeight="1"/>
    <row r="9" spans="1:20" ht="15" customHeight="1">
      <c r="A9" s="507" t="str">
        <f>IF(brand="lpg","",IF(brand="thorn","Please going to THORN Cylinder Tab for Cylinder Selection","Please Select Correct Cylinder Size"))</f>
        <v>Please going to THORN Cylinder Tab for Cylinder Selection</v>
      </c>
      <c r="B9" s="507"/>
      <c r="C9" s="507"/>
      <c r="D9" s="507"/>
      <c r="E9" s="507"/>
      <c r="F9" s="507"/>
      <c r="G9" s="507"/>
      <c r="H9" s="507"/>
      <c r="I9" s="507"/>
      <c r="J9" s="507"/>
      <c r="K9" s="507"/>
      <c r="L9" s="507"/>
      <c r="M9" s="507"/>
      <c r="N9" s="507"/>
    </row>
    <row r="10" spans="1:20" ht="15" customHeight="1" thickBot="1"/>
    <row r="11" spans="1:20" ht="27" customHeight="1">
      <c r="A11" s="526" t="s">
        <v>215</v>
      </c>
      <c r="B11" s="524" t="s">
        <v>394</v>
      </c>
      <c r="C11" s="109" t="s">
        <v>339</v>
      </c>
      <c r="D11" s="110" t="s">
        <v>340</v>
      </c>
      <c r="E11" s="524" t="s">
        <v>341</v>
      </c>
      <c r="F11" s="524" t="s">
        <v>342</v>
      </c>
      <c r="G11" s="524" t="s">
        <v>343</v>
      </c>
      <c r="H11" s="611" t="s">
        <v>345</v>
      </c>
      <c r="I11" s="524" t="s">
        <v>344</v>
      </c>
      <c r="J11" s="110" t="s">
        <v>213</v>
      </c>
      <c r="K11" s="110" t="s">
        <v>346</v>
      </c>
      <c r="L11" s="110" t="s">
        <v>347</v>
      </c>
      <c r="M11" s="606" t="s">
        <v>302</v>
      </c>
      <c r="N11" s="607"/>
    </row>
    <row r="12" spans="1:20" ht="13.5" thickBot="1">
      <c r="A12" s="527"/>
      <c r="B12" s="525"/>
      <c r="C12" s="111" t="s">
        <v>301</v>
      </c>
      <c r="D12" s="112" t="s">
        <v>348</v>
      </c>
      <c r="E12" s="525"/>
      <c r="F12" s="525"/>
      <c r="G12" s="525"/>
      <c r="H12" s="612"/>
      <c r="I12" s="525"/>
      <c r="J12" s="112" t="s">
        <v>211</v>
      </c>
      <c r="K12" s="112" t="s">
        <v>211</v>
      </c>
      <c r="L12" s="112" t="s">
        <v>211</v>
      </c>
      <c r="M12" s="608" t="s">
        <v>349</v>
      </c>
      <c r="N12" s="609"/>
    </row>
    <row r="13" spans="1:20" ht="16.149999999999999" customHeight="1">
      <c r="A13" s="113"/>
      <c r="B13" s="114"/>
      <c r="C13" s="115">
        <v>240</v>
      </c>
      <c r="D13" s="116" t="s">
        <v>350</v>
      </c>
      <c r="E13" s="575" t="s">
        <v>352</v>
      </c>
      <c r="F13" s="575" t="s">
        <v>353</v>
      </c>
      <c r="G13" s="578"/>
      <c r="H13" s="578"/>
      <c r="I13" s="581" t="s">
        <v>365</v>
      </c>
      <c r="J13" s="116">
        <v>455</v>
      </c>
      <c r="K13" s="116" t="s">
        <v>354</v>
      </c>
      <c r="L13" s="554" t="s">
        <v>372</v>
      </c>
      <c r="M13" s="116">
        <v>115.2</v>
      </c>
      <c r="N13" s="117">
        <v>276</v>
      </c>
    </row>
    <row r="14" spans="1:20" ht="16.149999999999999" customHeight="1">
      <c r="A14" s="118"/>
      <c r="B14" s="119"/>
      <c r="C14" s="120">
        <v>175</v>
      </c>
      <c r="D14" s="121" t="s">
        <v>351</v>
      </c>
      <c r="E14" s="599"/>
      <c r="F14" s="599"/>
      <c r="G14" s="596"/>
      <c r="H14" s="596"/>
      <c r="I14" s="582"/>
      <c r="J14" s="121">
        <v>455</v>
      </c>
      <c r="K14" s="121" t="s">
        <v>355</v>
      </c>
      <c r="L14" s="555"/>
      <c r="M14" s="121">
        <v>84</v>
      </c>
      <c r="N14" s="122">
        <v>201.2</v>
      </c>
    </row>
    <row r="15" spans="1:20" ht="16.149999999999999" customHeight="1" thickBot="1">
      <c r="A15" s="123"/>
      <c r="B15" s="124"/>
      <c r="C15" s="125">
        <v>142</v>
      </c>
      <c r="D15" s="126"/>
      <c r="E15" s="542"/>
      <c r="F15" s="542"/>
      <c r="G15" s="544"/>
      <c r="H15" s="544"/>
      <c r="I15" s="583"/>
      <c r="J15" s="127">
        <v>401.2</v>
      </c>
      <c r="K15" s="127" t="s">
        <v>356</v>
      </c>
      <c r="L15" s="543"/>
      <c r="M15" s="127">
        <v>68.2</v>
      </c>
      <c r="N15" s="128">
        <v>163.30000000000001</v>
      </c>
    </row>
    <row r="16" spans="1:20" ht="13.15" customHeight="1">
      <c r="A16" s="106">
        <v>75025002</v>
      </c>
      <c r="B16" s="129" t="s">
        <v>391</v>
      </c>
      <c r="C16" s="597">
        <v>120</v>
      </c>
      <c r="D16" s="581" t="s">
        <v>368</v>
      </c>
      <c r="E16" s="554" t="s">
        <v>357</v>
      </c>
      <c r="F16" s="585" t="s">
        <v>384</v>
      </c>
      <c r="G16" s="554" t="s">
        <v>358</v>
      </c>
      <c r="H16" s="576" t="s">
        <v>359</v>
      </c>
      <c r="I16" s="581" t="s">
        <v>364</v>
      </c>
      <c r="J16" s="588">
        <v>357</v>
      </c>
      <c r="K16" s="588" t="s">
        <v>360</v>
      </c>
      <c r="L16" s="554" t="s">
        <v>369</v>
      </c>
      <c r="M16" s="588">
        <v>57.6</v>
      </c>
      <c r="N16" s="590">
        <v>138</v>
      </c>
    </row>
    <row r="17" spans="1:14" ht="13.15" customHeight="1">
      <c r="A17" s="107">
        <v>75025005</v>
      </c>
      <c r="B17" s="130" t="s">
        <v>392</v>
      </c>
      <c r="C17" s="598"/>
      <c r="D17" s="582"/>
      <c r="E17" s="555"/>
      <c r="F17" s="586"/>
      <c r="G17" s="555"/>
      <c r="H17" s="577"/>
      <c r="I17" s="582"/>
      <c r="J17" s="589"/>
      <c r="K17" s="589"/>
      <c r="L17" s="555"/>
      <c r="M17" s="589"/>
      <c r="N17" s="591"/>
    </row>
    <row r="18" spans="1:14" ht="13.15" customHeight="1">
      <c r="A18" s="107">
        <v>75025007</v>
      </c>
      <c r="B18" s="130" t="s">
        <v>393</v>
      </c>
      <c r="C18" s="569"/>
      <c r="D18" s="582"/>
      <c r="E18" s="555"/>
      <c r="F18" s="586"/>
      <c r="G18" s="555"/>
      <c r="H18" s="577"/>
      <c r="I18" s="582"/>
      <c r="J18" s="547"/>
      <c r="K18" s="547"/>
      <c r="L18" s="555"/>
      <c r="M18" s="547"/>
      <c r="N18" s="546"/>
    </row>
    <row r="19" spans="1:14" ht="13.15" customHeight="1">
      <c r="A19" s="107">
        <v>74102003</v>
      </c>
      <c r="B19" s="130" t="s">
        <v>391</v>
      </c>
      <c r="C19" s="593">
        <v>100</v>
      </c>
      <c r="D19" s="582"/>
      <c r="E19" s="555"/>
      <c r="F19" s="587"/>
      <c r="G19" s="575"/>
      <c r="H19" s="578"/>
      <c r="I19" s="582"/>
      <c r="J19" s="592">
        <v>357</v>
      </c>
      <c r="K19" s="592" t="s">
        <v>363</v>
      </c>
      <c r="L19" s="555"/>
      <c r="M19" s="592">
        <v>48</v>
      </c>
      <c r="N19" s="579">
        <v>115</v>
      </c>
    </row>
    <row r="20" spans="1:14" ht="13.15" customHeight="1">
      <c r="A20" s="107">
        <v>74102010</v>
      </c>
      <c r="B20" s="130" t="s">
        <v>392</v>
      </c>
      <c r="C20" s="594"/>
      <c r="D20" s="582"/>
      <c r="E20" s="555"/>
      <c r="F20" s="131"/>
      <c r="G20" s="132"/>
      <c r="H20" s="133"/>
      <c r="I20" s="582"/>
      <c r="J20" s="561"/>
      <c r="K20" s="561"/>
      <c r="L20" s="555"/>
      <c r="M20" s="561"/>
      <c r="N20" s="564"/>
    </row>
    <row r="21" spans="1:14" ht="13.15" customHeight="1">
      <c r="A21" s="107">
        <v>74025422</v>
      </c>
      <c r="B21" s="130" t="s">
        <v>393</v>
      </c>
      <c r="C21" s="595"/>
      <c r="D21" s="582"/>
      <c r="E21" s="555"/>
      <c r="F21" s="540" t="s">
        <v>383</v>
      </c>
      <c r="G21" s="542" t="s">
        <v>361</v>
      </c>
      <c r="H21" s="544" t="s">
        <v>362</v>
      </c>
      <c r="I21" s="582"/>
      <c r="J21" s="562"/>
      <c r="K21" s="562"/>
      <c r="L21" s="555"/>
      <c r="M21" s="562"/>
      <c r="N21" s="565"/>
    </row>
    <row r="22" spans="1:14" ht="13.15" customHeight="1">
      <c r="A22" s="107">
        <v>72025421</v>
      </c>
      <c r="B22" s="130" t="s">
        <v>391</v>
      </c>
      <c r="C22" s="538">
        <v>75</v>
      </c>
      <c r="D22" s="582"/>
      <c r="E22" s="555"/>
      <c r="F22" s="584"/>
      <c r="G22" s="555"/>
      <c r="H22" s="577"/>
      <c r="I22" s="582"/>
      <c r="J22" s="534">
        <v>267</v>
      </c>
      <c r="K22" s="534" t="s">
        <v>356</v>
      </c>
      <c r="L22" s="555"/>
      <c r="M22" s="534">
        <v>36</v>
      </c>
      <c r="N22" s="536">
        <v>86.2</v>
      </c>
    </row>
    <row r="23" spans="1:14" ht="13.15" customHeight="1">
      <c r="A23" s="107">
        <v>72025423</v>
      </c>
      <c r="B23" s="130" t="s">
        <v>392</v>
      </c>
      <c r="C23" s="580"/>
      <c r="D23" s="582"/>
      <c r="E23" s="555"/>
      <c r="F23" s="584"/>
      <c r="G23" s="555"/>
      <c r="H23" s="577"/>
      <c r="I23" s="582"/>
      <c r="J23" s="550"/>
      <c r="K23" s="550"/>
      <c r="L23" s="555"/>
      <c r="M23" s="550"/>
      <c r="N23" s="551"/>
    </row>
    <row r="24" spans="1:14" ht="13.15" customHeight="1" thickBot="1">
      <c r="A24" s="108">
        <v>72025425</v>
      </c>
      <c r="B24" s="134" t="s">
        <v>393</v>
      </c>
      <c r="C24" s="539"/>
      <c r="D24" s="583"/>
      <c r="E24" s="543"/>
      <c r="F24" s="541"/>
      <c r="G24" s="543"/>
      <c r="H24" s="545"/>
      <c r="I24" s="583"/>
      <c r="J24" s="535"/>
      <c r="K24" s="535"/>
      <c r="L24" s="543"/>
      <c r="M24" s="535"/>
      <c r="N24" s="537"/>
    </row>
    <row r="25" spans="1:14" ht="13.15" customHeight="1">
      <c r="A25" s="106">
        <v>71025420</v>
      </c>
      <c r="B25" s="129" t="s">
        <v>391</v>
      </c>
      <c r="C25" s="603">
        <v>67</v>
      </c>
      <c r="D25" s="581" t="s">
        <v>368</v>
      </c>
      <c r="E25" s="604" t="s">
        <v>357</v>
      </c>
      <c r="F25" s="585" t="s">
        <v>387</v>
      </c>
      <c r="G25" s="554" t="s">
        <v>358</v>
      </c>
      <c r="H25" s="576" t="s">
        <v>359</v>
      </c>
      <c r="I25" s="581" t="s">
        <v>366</v>
      </c>
      <c r="J25" s="560">
        <v>267</v>
      </c>
      <c r="K25" s="556"/>
      <c r="L25" s="554" t="s">
        <v>370</v>
      </c>
      <c r="M25" s="560">
        <v>32.4</v>
      </c>
      <c r="N25" s="563">
        <v>77</v>
      </c>
    </row>
    <row r="26" spans="1:14" ht="13.15" customHeight="1">
      <c r="A26" s="107">
        <v>71025423</v>
      </c>
      <c r="B26" s="130" t="s">
        <v>392</v>
      </c>
      <c r="C26" s="594"/>
      <c r="D26" s="582"/>
      <c r="E26" s="575"/>
      <c r="F26" s="587"/>
      <c r="G26" s="575"/>
      <c r="H26" s="578"/>
      <c r="I26" s="582"/>
      <c r="J26" s="561"/>
      <c r="K26" s="562"/>
      <c r="L26" s="555"/>
      <c r="M26" s="561"/>
      <c r="N26" s="564"/>
    </row>
    <row r="27" spans="1:14" ht="13.15" customHeight="1">
      <c r="A27" s="107">
        <v>71025425</v>
      </c>
      <c r="B27" s="130" t="s">
        <v>393</v>
      </c>
      <c r="C27" s="595"/>
      <c r="D27" s="582"/>
      <c r="E27" s="599"/>
      <c r="F27" s="135"/>
      <c r="G27" s="135"/>
      <c r="H27" s="136"/>
      <c r="I27" s="582"/>
      <c r="J27" s="562"/>
      <c r="K27" s="557"/>
      <c r="L27" s="555"/>
      <c r="M27" s="562"/>
      <c r="N27" s="565"/>
    </row>
    <row r="28" spans="1:14" ht="13.15" customHeight="1">
      <c r="A28" s="107">
        <v>70025452</v>
      </c>
      <c r="B28" s="130" t="s">
        <v>389</v>
      </c>
      <c r="C28" s="538">
        <v>40.200000000000003</v>
      </c>
      <c r="D28" s="582"/>
      <c r="E28" s="599"/>
      <c r="F28" s="540" t="s">
        <v>388</v>
      </c>
      <c r="G28" s="542" t="s">
        <v>361</v>
      </c>
      <c r="H28" s="544" t="s">
        <v>362</v>
      </c>
      <c r="I28" s="582"/>
      <c r="J28" s="534">
        <v>229</v>
      </c>
      <c r="K28" s="602"/>
      <c r="L28" s="555"/>
      <c r="M28" s="534">
        <v>19.3</v>
      </c>
      <c r="N28" s="536">
        <v>46.2</v>
      </c>
    </row>
    <row r="29" spans="1:14" ht="13.15" customHeight="1" thickBot="1">
      <c r="A29" s="108">
        <v>70025462</v>
      </c>
      <c r="B29" s="134" t="s">
        <v>390</v>
      </c>
      <c r="C29" s="539"/>
      <c r="D29" s="582"/>
      <c r="E29" s="542"/>
      <c r="F29" s="541"/>
      <c r="G29" s="543"/>
      <c r="H29" s="545"/>
      <c r="I29" s="582"/>
      <c r="J29" s="535"/>
      <c r="K29" s="534"/>
      <c r="L29" s="555"/>
      <c r="M29" s="535"/>
      <c r="N29" s="537"/>
    </row>
    <row r="30" spans="1:14" ht="13.15" customHeight="1">
      <c r="A30" s="106">
        <v>70025448</v>
      </c>
      <c r="B30" s="129" t="s">
        <v>389</v>
      </c>
      <c r="C30" s="600">
        <v>26.8</v>
      </c>
      <c r="D30" s="572" t="s">
        <v>368</v>
      </c>
      <c r="E30" s="554" t="s">
        <v>357</v>
      </c>
      <c r="F30" s="585" t="s">
        <v>385</v>
      </c>
      <c r="G30" s="554" t="s">
        <v>358</v>
      </c>
      <c r="H30" s="576" t="s">
        <v>359</v>
      </c>
      <c r="I30" s="572" t="s">
        <v>367</v>
      </c>
      <c r="J30" s="556">
        <v>229</v>
      </c>
      <c r="K30" s="556"/>
      <c r="L30" s="566" t="s">
        <v>371</v>
      </c>
      <c r="M30" s="556">
        <v>12.9</v>
      </c>
      <c r="N30" s="558">
        <v>30.8</v>
      </c>
    </row>
    <row r="31" spans="1:14" ht="13.15" customHeight="1">
      <c r="A31" s="107">
        <v>70025460</v>
      </c>
      <c r="B31" s="130" t="s">
        <v>390</v>
      </c>
      <c r="C31" s="601"/>
      <c r="D31" s="573"/>
      <c r="E31" s="555"/>
      <c r="F31" s="586"/>
      <c r="G31" s="555"/>
      <c r="H31" s="577"/>
      <c r="I31" s="573"/>
      <c r="J31" s="557"/>
      <c r="K31" s="557"/>
      <c r="L31" s="567"/>
      <c r="M31" s="557"/>
      <c r="N31" s="559"/>
    </row>
    <row r="32" spans="1:14" ht="13.15" customHeight="1">
      <c r="A32" s="107">
        <v>70025444</v>
      </c>
      <c r="B32" s="130" t="s">
        <v>389</v>
      </c>
      <c r="C32" s="569">
        <v>13.4</v>
      </c>
      <c r="D32" s="573"/>
      <c r="E32" s="555"/>
      <c r="F32" s="587"/>
      <c r="G32" s="575"/>
      <c r="H32" s="578"/>
      <c r="I32" s="573"/>
      <c r="J32" s="547">
        <v>140</v>
      </c>
      <c r="K32" s="547"/>
      <c r="L32" s="567"/>
      <c r="M32" s="547">
        <v>6.5</v>
      </c>
      <c r="N32" s="546">
        <v>15.4</v>
      </c>
    </row>
    <row r="33" spans="1:14" ht="13.15" customHeight="1">
      <c r="A33" s="107">
        <v>70025458</v>
      </c>
      <c r="B33" s="130" t="s">
        <v>390</v>
      </c>
      <c r="C33" s="569"/>
      <c r="D33" s="573"/>
      <c r="E33" s="555"/>
      <c r="F33" s="540" t="s">
        <v>386</v>
      </c>
      <c r="G33" s="542" t="s">
        <v>361</v>
      </c>
      <c r="H33" s="544" t="s">
        <v>362</v>
      </c>
      <c r="I33" s="573"/>
      <c r="J33" s="547"/>
      <c r="K33" s="547"/>
      <c r="L33" s="567"/>
      <c r="M33" s="547"/>
      <c r="N33" s="546"/>
    </row>
    <row r="34" spans="1:14" ht="13.15" customHeight="1">
      <c r="A34" s="107">
        <v>70025441</v>
      </c>
      <c r="B34" s="130" t="s">
        <v>389</v>
      </c>
      <c r="C34" s="570">
        <v>5</v>
      </c>
      <c r="D34" s="573"/>
      <c r="E34" s="555"/>
      <c r="F34" s="584"/>
      <c r="G34" s="555"/>
      <c r="H34" s="577"/>
      <c r="I34" s="573"/>
      <c r="J34" s="548">
        <v>140</v>
      </c>
      <c r="K34" s="548"/>
      <c r="L34" s="567"/>
      <c r="M34" s="548">
        <v>2.4</v>
      </c>
      <c r="N34" s="552">
        <v>5.7</v>
      </c>
    </row>
    <row r="35" spans="1:14" ht="13.15" customHeight="1" thickBot="1">
      <c r="A35" s="108">
        <v>70025456</v>
      </c>
      <c r="B35" s="134" t="s">
        <v>390</v>
      </c>
      <c r="C35" s="571"/>
      <c r="D35" s="574"/>
      <c r="E35" s="543"/>
      <c r="F35" s="541"/>
      <c r="G35" s="543"/>
      <c r="H35" s="545"/>
      <c r="I35" s="574"/>
      <c r="J35" s="549"/>
      <c r="K35" s="549"/>
      <c r="L35" s="568"/>
      <c r="M35" s="549"/>
      <c r="N35" s="553"/>
    </row>
    <row r="36" spans="1:14">
      <c r="C36" s="137"/>
      <c r="D36" s="137"/>
      <c r="E36" s="137"/>
      <c r="F36" s="137"/>
      <c r="G36" s="137"/>
      <c r="H36" s="137"/>
      <c r="I36" s="137"/>
      <c r="J36" s="137"/>
      <c r="K36" s="137"/>
      <c r="L36" s="137"/>
      <c r="M36" s="137"/>
      <c r="N36" s="137"/>
    </row>
    <row r="37" spans="1:14">
      <c r="A37" s="138" t="s">
        <v>398</v>
      </c>
      <c r="C37" s="139"/>
      <c r="D37" s="139"/>
      <c r="E37" s="139"/>
      <c r="F37" s="139"/>
      <c r="G37" s="139"/>
      <c r="H37" s="139"/>
      <c r="I37" s="139"/>
      <c r="J37" s="139"/>
      <c r="K37" s="139"/>
      <c r="L37" s="139"/>
      <c r="M37" s="139"/>
      <c r="N37" s="139"/>
    </row>
    <row r="38" spans="1:14" ht="19.899999999999999" customHeight="1">
      <c r="A38" s="520"/>
      <c r="B38" s="520"/>
      <c r="C38" s="520"/>
      <c r="D38" s="520"/>
      <c r="E38" s="520"/>
      <c r="F38" s="520"/>
      <c r="G38" s="520"/>
      <c r="H38" s="520"/>
      <c r="I38" s="520"/>
      <c r="J38" s="520"/>
      <c r="K38" s="520"/>
      <c r="L38" s="520"/>
      <c r="M38" s="520"/>
      <c r="N38" s="520"/>
    </row>
    <row r="39" spans="1:14">
      <c r="C39" s="17"/>
      <c r="D39" s="17"/>
      <c r="E39" s="17"/>
      <c r="F39" s="17"/>
      <c r="G39" s="17"/>
      <c r="H39" s="17"/>
      <c r="I39" s="17"/>
      <c r="J39" s="17"/>
      <c r="K39" s="17"/>
      <c r="L39" s="17"/>
      <c r="M39" s="17"/>
      <c r="N39" s="17"/>
    </row>
  </sheetData>
  <sheetProtection algorithmName="SHA-512" hashValue="wSKV22FWhG5+IKWW0ifIDUQGBWEjpZVjt6FJUvU70b3T2NgXywQjykfx1Dzl1iL4+gDxzN5bYkNIPv6jUKVXQw==" saltValue="ZC+30dUvu6WeAkQFlAKHIg==" spinCount="100000" sheet="1" objects="1" scenarios="1"/>
  <mergeCells count="95">
    <mergeCell ref="A2:N2"/>
    <mergeCell ref="P6:T6"/>
    <mergeCell ref="M11:N11"/>
    <mergeCell ref="M12:N12"/>
    <mergeCell ref="E6:I6"/>
    <mergeCell ref="E11:E12"/>
    <mergeCell ref="F11:F12"/>
    <mergeCell ref="G11:G12"/>
    <mergeCell ref="I11:I12"/>
    <mergeCell ref="H11:H12"/>
    <mergeCell ref="I25:I29"/>
    <mergeCell ref="C30:C31"/>
    <mergeCell ref="J30:J31"/>
    <mergeCell ref="K30:K31"/>
    <mergeCell ref="F33:F35"/>
    <mergeCell ref="F30:F32"/>
    <mergeCell ref="G33:G35"/>
    <mergeCell ref="K28:K29"/>
    <mergeCell ref="D25:D29"/>
    <mergeCell ref="C25:C27"/>
    <mergeCell ref="E25:E29"/>
    <mergeCell ref="J25:J27"/>
    <mergeCell ref="K25:K27"/>
    <mergeCell ref="H25:H26"/>
    <mergeCell ref="G25:G26"/>
    <mergeCell ref="F25:F26"/>
    <mergeCell ref="L13:L15"/>
    <mergeCell ref="C19:C21"/>
    <mergeCell ref="J19:J21"/>
    <mergeCell ref="K19:K21"/>
    <mergeCell ref="H21:H24"/>
    <mergeCell ref="J22:J24"/>
    <mergeCell ref="K22:K24"/>
    <mergeCell ref="L16:L24"/>
    <mergeCell ref="J16:J18"/>
    <mergeCell ref="K16:K18"/>
    <mergeCell ref="G13:G15"/>
    <mergeCell ref="H13:H15"/>
    <mergeCell ref="C16:C18"/>
    <mergeCell ref="I13:I15"/>
    <mergeCell ref="E13:E15"/>
    <mergeCell ref="F13:F15"/>
    <mergeCell ref="N19:N21"/>
    <mergeCell ref="C22:C24"/>
    <mergeCell ref="D16:D24"/>
    <mergeCell ref="E16:E24"/>
    <mergeCell ref="F21:F24"/>
    <mergeCell ref="F16:F19"/>
    <mergeCell ref="G21:G24"/>
    <mergeCell ref="G16:G19"/>
    <mergeCell ref="I16:I24"/>
    <mergeCell ref="H16:H19"/>
    <mergeCell ref="M16:M18"/>
    <mergeCell ref="N16:N18"/>
    <mergeCell ref="M19:M21"/>
    <mergeCell ref="C32:C33"/>
    <mergeCell ref="C34:C35"/>
    <mergeCell ref="J32:J33"/>
    <mergeCell ref="J34:J35"/>
    <mergeCell ref="I30:I35"/>
    <mergeCell ref="E30:E35"/>
    <mergeCell ref="D30:D35"/>
    <mergeCell ref="G30:G32"/>
    <mergeCell ref="H30:H32"/>
    <mergeCell ref="H33:H35"/>
    <mergeCell ref="N32:N33"/>
    <mergeCell ref="K32:K33"/>
    <mergeCell ref="K34:K35"/>
    <mergeCell ref="M22:M24"/>
    <mergeCell ref="N22:N24"/>
    <mergeCell ref="N34:N35"/>
    <mergeCell ref="L25:L29"/>
    <mergeCell ref="M30:M31"/>
    <mergeCell ref="N30:N31"/>
    <mergeCell ref="M25:M27"/>
    <mergeCell ref="N25:N27"/>
    <mergeCell ref="M34:M35"/>
    <mergeCell ref="L30:L35"/>
    <mergeCell ref="M32:M33"/>
    <mergeCell ref="A38:N38"/>
    <mergeCell ref="A1:N1"/>
    <mergeCell ref="A4:N4"/>
    <mergeCell ref="B11:B12"/>
    <mergeCell ref="A11:A12"/>
    <mergeCell ref="A6:B6"/>
    <mergeCell ref="K6:L6"/>
    <mergeCell ref="A9:N9"/>
    <mergeCell ref="K7:L7"/>
    <mergeCell ref="J28:J29"/>
    <mergeCell ref="M28:M29"/>
    <mergeCell ref="N28:N29"/>
    <mergeCell ref="C28:C29"/>
    <mergeCell ref="F28:F29"/>
    <mergeCell ref="G28:G29"/>
    <mergeCell ref="H28:H29"/>
  </mergeCells>
  <conditionalFormatting sqref="A9">
    <cfRule type="expression" dxfId="5" priority="23">
      <formula>$M$6=0</formula>
    </cfRule>
  </conditionalFormatting>
  <hyperlinks>
    <hyperlink ref="P6:T6" location="'Protected Areas'!A1" display="back to CALCULATION sheet (Protected Areas)" xr:uid="{00000000-0004-0000-0600-000000000000}"/>
  </hyperlinks>
  <printOptions horizontalCentered="1"/>
  <pageMargins left="0.5" right="0.5" top="1" bottom="0.5" header="0.5" footer="0.5"/>
  <pageSetup paperSize="9" scale="84" orientation="landscape" horizontalDpi="1200" verticalDpi="1200" r:id="rId1"/>
  <headerFooter>
    <oddHeader>&amp;L&amp;G</oddHeader>
    <oddFooter xml:space="preserve">&amp;L&amp;"Cambria,Regular"&amp;7Tel  : +98 (21) 4420 1601
&amp;K00+000Tel  :&amp;K000000 +98 (21) 4420 1768
Fax : +98 (21) 4420 1934&amp;C- 5 -&amp;R&amp;"+,Regular"&amp;7Design by Ali Cheraghi
                 ( BSEE )     &amp;"Arial,Regular"  &amp;10           </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17"/>
    <pageSetUpPr fitToPage="1"/>
  </sheetPr>
  <dimension ref="A1:P33"/>
  <sheetViews>
    <sheetView showGridLines="0" view="pageBreakPreview" zoomScaleSheetLayoutView="100" workbookViewId="0">
      <pane ySplit="14" topLeftCell="A15" activePane="bottomLeft" state="frozen"/>
      <selection pane="bottomLeft" activeCell="E8" sqref="E8"/>
    </sheetView>
  </sheetViews>
  <sheetFormatPr defaultColWidth="9.140625" defaultRowHeight="12.75"/>
  <cols>
    <col min="1" max="4" width="7.7109375" style="49" customWidth="1"/>
    <col min="5" max="5" width="9.42578125" style="49" bestFit="1" customWidth="1"/>
    <col min="6" max="10" width="7.7109375" style="49" customWidth="1"/>
    <col min="11" max="11" width="9.42578125" style="49" bestFit="1" customWidth="1"/>
    <col min="12" max="12" width="7.7109375" style="49" customWidth="1"/>
    <col min="13" max="16384" width="9.140625" style="49"/>
  </cols>
  <sheetData>
    <row r="1" spans="1:16" s="177" customFormat="1" ht="20.100000000000001" customHeight="1"/>
    <row r="2" spans="1:16" ht="20.100000000000001" customHeight="1">
      <c r="B2" s="54"/>
      <c r="C2" s="54"/>
      <c r="D2" s="54"/>
      <c r="E2" s="54"/>
      <c r="F2" s="54"/>
      <c r="G2" s="54"/>
      <c r="H2" s="54"/>
      <c r="I2" s="54"/>
      <c r="J2" s="54"/>
      <c r="K2" s="54"/>
      <c r="L2" s="54"/>
      <c r="M2" s="55"/>
    </row>
    <row r="3" spans="1:16" ht="20.100000000000001" customHeight="1">
      <c r="A3" s="343" t="s">
        <v>243</v>
      </c>
      <c r="B3" s="343"/>
      <c r="C3" s="343"/>
      <c r="D3" s="343"/>
      <c r="E3" s="343"/>
      <c r="F3" s="343"/>
      <c r="G3" s="343"/>
      <c r="H3" s="343"/>
      <c r="I3" s="343"/>
      <c r="J3" s="343"/>
      <c r="K3" s="343"/>
      <c r="L3" s="343"/>
      <c r="M3" s="43"/>
      <c r="N3" s="63"/>
    </row>
    <row r="4" spans="1:16" ht="20.100000000000001" customHeight="1">
      <c r="A4" s="613" t="s">
        <v>247</v>
      </c>
      <c r="B4" s="613"/>
      <c r="C4" s="613"/>
      <c r="D4" s="613"/>
      <c r="E4" s="613"/>
      <c r="F4" s="613"/>
      <c r="G4" s="613"/>
      <c r="H4" s="613"/>
      <c r="I4" s="613"/>
      <c r="J4" s="613"/>
      <c r="K4" s="613"/>
      <c r="L4" s="613"/>
      <c r="M4" s="43"/>
    </row>
    <row r="5" spans="1:16" ht="20.100000000000001" customHeight="1">
      <c r="A5" s="619" t="str">
        <f>Project.Name</f>
        <v>Insert Project Name</v>
      </c>
      <c r="B5" s="619"/>
      <c r="C5" s="619"/>
      <c r="D5" s="619"/>
      <c r="E5" s="619"/>
      <c r="F5" s="619"/>
      <c r="G5" s="619"/>
      <c r="H5" s="619"/>
      <c r="I5" s="619"/>
      <c r="J5" s="619"/>
      <c r="K5" s="619"/>
      <c r="L5" s="619"/>
      <c r="M5" s="43"/>
      <c r="N5" s="63"/>
    </row>
    <row r="6" spans="1:16" ht="18" customHeight="1">
      <c r="A6" s="63"/>
      <c r="B6" s="63"/>
      <c r="C6" s="63"/>
      <c r="D6" s="63"/>
      <c r="E6" s="63"/>
      <c r="F6" s="63"/>
      <c r="G6" s="63"/>
      <c r="H6" s="63"/>
      <c r="I6" s="63"/>
      <c r="J6" s="63"/>
      <c r="K6" s="63"/>
      <c r="L6" s="63"/>
      <c r="M6" s="43"/>
      <c r="N6" s="63"/>
    </row>
    <row r="7" spans="1:16" ht="18" customHeight="1">
      <c r="A7" s="63"/>
      <c r="B7" s="63"/>
      <c r="C7" s="63"/>
      <c r="D7" s="63"/>
      <c r="E7" s="63"/>
      <c r="F7" s="63"/>
      <c r="G7" s="63"/>
      <c r="H7" s="63"/>
      <c r="I7" s="63"/>
      <c r="J7" s="63"/>
      <c r="K7" s="63"/>
      <c r="L7" s="63"/>
      <c r="M7" s="43"/>
      <c r="N7" s="63"/>
    </row>
    <row r="8" spans="1:16" ht="18" customHeight="1">
      <c r="A8" s="616" t="s">
        <v>245</v>
      </c>
      <c r="B8" s="616"/>
      <c r="C8" s="616"/>
      <c r="D8" s="616"/>
      <c r="E8" s="183" t="e">
        <f>max.f.r</f>
        <v>#NAME?</v>
      </c>
      <c r="F8" s="51" t="s">
        <v>275</v>
      </c>
      <c r="G8" s="51"/>
      <c r="H8" s="617" t="s">
        <v>246</v>
      </c>
      <c r="I8" s="617"/>
      <c r="J8" s="617"/>
      <c r="K8" s="183" t="e">
        <f>min.f.r</f>
        <v>#NAME?</v>
      </c>
      <c r="L8" s="51" t="s">
        <v>275</v>
      </c>
      <c r="M8" s="43"/>
      <c r="N8" s="624" t="s">
        <v>428</v>
      </c>
      <c r="O8" s="624"/>
      <c r="P8" s="624"/>
    </row>
    <row r="9" spans="1:16" ht="18" customHeight="1">
      <c r="N9" s="624"/>
      <c r="O9" s="624"/>
      <c r="P9" s="624"/>
    </row>
    <row r="10" spans="1:16" ht="18" customHeight="1">
      <c r="N10" s="624" t="s">
        <v>430</v>
      </c>
      <c r="O10" s="624"/>
      <c r="P10" s="624"/>
    </row>
    <row r="11" spans="1:16" ht="18" customHeight="1">
      <c r="A11" s="616" t="s">
        <v>432</v>
      </c>
      <c r="B11" s="616"/>
      <c r="C11" s="616"/>
      <c r="D11" s="616"/>
      <c r="E11" s="183" t="e">
        <f>Max_F_R_N_1</f>
        <v>#NAME?</v>
      </c>
      <c r="F11" s="51" t="s">
        <v>275</v>
      </c>
      <c r="G11" s="63"/>
      <c r="H11" s="617" t="s">
        <v>274</v>
      </c>
      <c r="I11" s="617"/>
      <c r="J11" s="617"/>
      <c r="K11" s="183" t="e">
        <f>Min_F_R_N_1</f>
        <v>#NAME?</v>
      </c>
      <c r="L11" s="51" t="s">
        <v>275</v>
      </c>
    </row>
    <row r="12" spans="1:16" s="166" customFormat="1" ht="18" customHeight="1">
      <c r="A12" s="616" t="s">
        <v>434</v>
      </c>
      <c r="B12" s="616"/>
      <c r="C12" s="616"/>
      <c r="D12" s="616"/>
      <c r="E12" s="183" t="e">
        <f>Max_F_R_N_2</f>
        <v>#NAME?</v>
      </c>
      <c r="F12" s="51" t="s">
        <v>275</v>
      </c>
      <c r="G12" s="167"/>
      <c r="H12" s="617" t="s">
        <v>274</v>
      </c>
      <c r="I12" s="617"/>
      <c r="J12" s="617"/>
      <c r="K12" s="183" t="e">
        <f>Min_F_R_N_2</f>
        <v>#NAME?</v>
      </c>
      <c r="L12" s="51" t="s">
        <v>275</v>
      </c>
    </row>
    <row r="13" spans="1:16" s="166" customFormat="1" ht="18" customHeight="1">
      <c r="A13" s="616" t="s">
        <v>433</v>
      </c>
      <c r="B13" s="616"/>
      <c r="C13" s="616"/>
      <c r="D13" s="616"/>
      <c r="E13" s="183" t="e">
        <f>Max_F_R_N_3</f>
        <v>#NAME?</v>
      </c>
      <c r="F13" s="51" t="s">
        <v>275</v>
      </c>
      <c r="G13" s="167"/>
      <c r="H13" s="617" t="s">
        <v>274</v>
      </c>
      <c r="I13" s="617"/>
      <c r="J13" s="617"/>
      <c r="K13" s="183" t="e">
        <f>Min_F_R_N_3</f>
        <v>#NAME?</v>
      </c>
      <c r="L13" s="51" t="s">
        <v>275</v>
      </c>
    </row>
    <row r="14" spans="1:16" ht="18" customHeight="1"/>
    <row r="15" spans="1:16" ht="18" customHeight="1"/>
    <row r="16" spans="1:16" ht="18" customHeight="1"/>
    <row r="17" spans="1:10" ht="25.15" customHeight="1">
      <c r="B17" s="621" t="s">
        <v>248</v>
      </c>
      <c r="C17" s="621"/>
      <c r="D17" s="621"/>
      <c r="E17" s="618" t="s">
        <v>249</v>
      </c>
      <c r="F17" s="618"/>
      <c r="G17" s="618" t="s">
        <v>250</v>
      </c>
      <c r="H17" s="618"/>
      <c r="I17" s="618" t="s">
        <v>251</v>
      </c>
      <c r="J17" s="618"/>
    </row>
    <row r="18" spans="1:10" ht="15" customHeight="1">
      <c r="C18" s="66"/>
      <c r="D18" s="176"/>
      <c r="E18" s="184" t="s">
        <v>211</v>
      </c>
      <c r="F18" s="184" t="s">
        <v>252</v>
      </c>
      <c r="G18" s="623" t="s">
        <v>253</v>
      </c>
      <c r="H18" s="623"/>
      <c r="I18" s="623" t="s">
        <v>253</v>
      </c>
      <c r="J18" s="623"/>
    </row>
    <row r="19" spans="1:10" ht="15" customHeight="1">
      <c r="A19" s="614"/>
      <c r="B19" s="614"/>
      <c r="C19" s="614"/>
      <c r="D19" s="176"/>
      <c r="E19" s="185" t="s">
        <v>254</v>
      </c>
      <c r="F19" s="185" t="s">
        <v>255</v>
      </c>
      <c r="G19" s="622">
        <v>0.27200000000000002</v>
      </c>
      <c r="H19" s="622"/>
      <c r="I19" s="622">
        <v>0.90700000000000003</v>
      </c>
      <c r="J19" s="622"/>
    </row>
    <row r="20" spans="1:10" ht="15" customHeight="1">
      <c r="A20" s="614"/>
      <c r="B20" s="614"/>
      <c r="C20" s="614"/>
      <c r="D20" s="176"/>
      <c r="E20" s="186" t="s">
        <v>256</v>
      </c>
      <c r="F20" s="186" t="s">
        <v>257</v>
      </c>
      <c r="G20" s="615">
        <v>0.45400000000000001</v>
      </c>
      <c r="H20" s="615"/>
      <c r="I20" s="615">
        <v>1.361</v>
      </c>
      <c r="J20" s="615"/>
    </row>
    <row r="21" spans="1:10" ht="15" customHeight="1">
      <c r="A21" s="614"/>
      <c r="B21" s="614"/>
      <c r="C21" s="614"/>
      <c r="D21" s="176"/>
      <c r="E21" s="185" t="s">
        <v>258</v>
      </c>
      <c r="F21" s="185" t="s">
        <v>259</v>
      </c>
      <c r="G21" s="622">
        <v>0.90700000000000003</v>
      </c>
      <c r="H21" s="622"/>
      <c r="I21" s="622">
        <v>2.4950000000000001</v>
      </c>
      <c r="J21" s="622"/>
    </row>
    <row r="22" spans="1:10" ht="15" customHeight="1">
      <c r="A22" s="614"/>
      <c r="B22" s="614"/>
      <c r="C22" s="614"/>
      <c r="D22" s="176"/>
      <c r="E22" s="186" t="s">
        <v>260</v>
      </c>
      <c r="F22" s="186">
        <v>1</v>
      </c>
      <c r="G22" s="615">
        <v>1.5880000000000001</v>
      </c>
      <c r="H22" s="615"/>
      <c r="I22" s="615">
        <v>3.855</v>
      </c>
      <c r="J22" s="615"/>
    </row>
    <row r="23" spans="1:10" ht="15" customHeight="1">
      <c r="A23" s="614"/>
      <c r="B23" s="614"/>
      <c r="C23" s="614"/>
      <c r="D23" s="176"/>
      <c r="E23" s="185" t="s">
        <v>261</v>
      </c>
      <c r="F23" s="185" t="s">
        <v>262</v>
      </c>
      <c r="G23" s="622">
        <v>2.722</v>
      </c>
      <c r="H23" s="622"/>
      <c r="I23" s="622">
        <v>5.67</v>
      </c>
      <c r="J23" s="622"/>
    </row>
    <row r="24" spans="1:10" ht="15" customHeight="1">
      <c r="A24" s="614"/>
      <c r="B24" s="614"/>
      <c r="C24" s="614"/>
      <c r="D24" s="176"/>
      <c r="E24" s="186" t="s">
        <v>263</v>
      </c>
      <c r="F24" s="186" t="s">
        <v>264</v>
      </c>
      <c r="G24" s="615">
        <v>4.0819999999999999</v>
      </c>
      <c r="H24" s="615"/>
      <c r="I24" s="615">
        <v>9.0719999999999992</v>
      </c>
      <c r="J24" s="615"/>
    </row>
    <row r="25" spans="1:10" ht="15" customHeight="1">
      <c r="A25" s="614"/>
      <c r="B25" s="614"/>
      <c r="C25" s="614"/>
      <c r="D25" s="176"/>
      <c r="E25" s="185" t="s">
        <v>265</v>
      </c>
      <c r="F25" s="185">
        <v>2</v>
      </c>
      <c r="G25" s="622">
        <v>6.35</v>
      </c>
      <c r="H25" s="622"/>
      <c r="I25" s="622">
        <v>13.61</v>
      </c>
      <c r="J25" s="622"/>
    </row>
    <row r="26" spans="1:10" ht="15" customHeight="1">
      <c r="A26" s="614"/>
      <c r="B26" s="614"/>
      <c r="C26" s="614"/>
      <c r="D26" s="176"/>
      <c r="E26" s="186" t="s">
        <v>266</v>
      </c>
      <c r="F26" s="186" t="s">
        <v>267</v>
      </c>
      <c r="G26" s="615">
        <v>9.0719999999999992</v>
      </c>
      <c r="H26" s="615"/>
      <c r="I26" s="615">
        <v>24.95</v>
      </c>
      <c r="J26" s="615"/>
    </row>
    <row r="27" spans="1:10" ht="15" customHeight="1">
      <c r="A27" s="614"/>
      <c r="B27" s="614"/>
      <c r="C27" s="614"/>
      <c r="D27" s="176"/>
      <c r="E27" s="185" t="s">
        <v>268</v>
      </c>
      <c r="F27" s="185">
        <v>3</v>
      </c>
      <c r="G27" s="622">
        <v>13.61</v>
      </c>
      <c r="H27" s="622"/>
      <c r="I27" s="625">
        <v>44.92</v>
      </c>
      <c r="J27" s="625"/>
    </row>
    <row r="28" spans="1:10" ht="15" customHeight="1">
      <c r="A28" s="614"/>
      <c r="B28" s="614"/>
      <c r="C28" s="614"/>
      <c r="D28" s="176"/>
      <c r="E28" s="186" t="s">
        <v>269</v>
      </c>
      <c r="F28" s="186">
        <v>4</v>
      </c>
      <c r="G28" s="615">
        <v>24.95</v>
      </c>
      <c r="H28" s="615"/>
      <c r="I28" s="615">
        <v>56.7</v>
      </c>
      <c r="J28" s="615"/>
    </row>
    <row r="29" spans="1:10" ht="15" customHeight="1">
      <c r="A29" s="614"/>
      <c r="B29" s="614"/>
      <c r="C29" s="614"/>
      <c r="D29" s="176"/>
      <c r="E29" s="185" t="s">
        <v>270</v>
      </c>
      <c r="F29" s="185">
        <v>5</v>
      </c>
      <c r="G29" s="622">
        <v>40.82</v>
      </c>
      <c r="H29" s="622"/>
      <c r="I29" s="622">
        <v>90.72</v>
      </c>
      <c r="J29" s="622"/>
    </row>
    <row r="30" spans="1:10" ht="15" customHeight="1">
      <c r="A30" s="614"/>
      <c r="B30" s="614"/>
      <c r="C30" s="614"/>
      <c r="D30" s="176"/>
      <c r="E30" s="186" t="s">
        <v>271</v>
      </c>
      <c r="F30" s="186">
        <v>6</v>
      </c>
      <c r="G30" s="615">
        <v>54.43</v>
      </c>
      <c r="H30" s="615"/>
      <c r="I30" s="615">
        <v>136.1</v>
      </c>
      <c r="J30" s="615"/>
    </row>
    <row r="31" spans="1:10" ht="15" customHeight="1">
      <c r="C31" s="66"/>
      <c r="D31" s="67" t="s">
        <v>272</v>
      </c>
      <c r="E31" s="620" t="s">
        <v>273</v>
      </c>
      <c r="F31" s="620"/>
      <c r="G31" s="620"/>
      <c r="H31" s="620"/>
      <c r="I31" s="620"/>
      <c r="J31" s="620"/>
    </row>
    <row r="32" spans="1:10" ht="15" customHeight="1">
      <c r="C32" s="66"/>
      <c r="D32" s="67"/>
      <c r="E32" s="620"/>
      <c r="F32" s="620"/>
      <c r="G32" s="620"/>
      <c r="H32" s="620"/>
      <c r="I32" s="620"/>
      <c r="J32" s="620"/>
    </row>
    <row r="33" ht="15" customHeight="1"/>
  </sheetData>
  <sheetProtection password="AE18" sheet="1" objects="1" scenarios="1"/>
  <mergeCells count="57">
    <mergeCell ref="N9:P9"/>
    <mergeCell ref="N8:P8"/>
    <mergeCell ref="N10:P10"/>
    <mergeCell ref="G30:H30"/>
    <mergeCell ref="G29:H29"/>
    <mergeCell ref="G28:H28"/>
    <mergeCell ref="G27:H27"/>
    <mergeCell ref="I30:J30"/>
    <mergeCell ref="I27:J27"/>
    <mergeCell ref="I28:J28"/>
    <mergeCell ref="I29:J29"/>
    <mergeCell ref="H13:J13"/>
    <mergeCell ref="A27:C27"/>
    <mergeCell ref="I23:J23"/>
    <mergeCell ref="I17:J17"/>
    <mergeCell ref="G18:H18"/>
    <mergeCell ref="G19:H19"/>
    <mergeCell ref="G26:H26"/>
    <mergeCell ref="I26:J26"/>
    <mergeCell ref="I22:J22"/>
    <mergeCell ref="I24:J24"/>
    <mergeCell ref="I18:J18"/>
    <mergeCell ref="I19:J19"/>
    <mergeCell ref="A25:C25"/>
    <mergeCell ref="I25:J25"/>
    <mergeCell ref="E31:J32"/>
    <mergeCell ref="B17:D17"/>
    <mergeCell ref="A21:C21"/>
    <mergeCell ref="G25:H25"/>
    <mergeCell ref="G24:H24"/>
    <mergeCell ref="G22:H22"/>
    <mergeCell ref="G23:H23"/>
    <mergeCell ref="G21:H21"/>
    <mergeCell ref="I21:J21"/>
    <mergeCell ref="A28:C28"/>
    <mergeCell ref="A29:C29"/>
    <mergeCell ref="A30:C30"/>
    <mergeCell ref="A23:C23"/>
    <mergeCell ref="A24:C24"/>
    <mergeCell ref="A22:C22"/>
    <mergeCell ref="A26:C26"/>
    <mergeCell ref="A3:L3"/>
    <mergeCell ref="A4:L4"/>
    <mergeCell ref="A19:C19"/>
    <mergeCell ref="A20:C20"/>
    <mergeCell ref="G20:H20"/>
    <mergeCell ref="I20:J20"/>
    <mergeCell ref="A8:D8"/>
    <mergeCell ref="H8:J8"/>
    <mergeCell ref="A11:D11"/>
    <mergeCell ref="H11:J11"/>
    <mergeCell ref="E17:F17"/>
    <mergeCell ref="A5:L5"/>
    <mergeCell ref="G17:H17"/>
    <mergeCell ref="A12:D12"/>
    <mergeCell ref="H12:J12"/>
    <mergeCell ref="A13:D13"/>
  </mergeCells>
  <hyperlinks>
    <hyperlink ref="N8:P8" location="'FM-200 Calculation'!A1" display="go to CALCULATION sheet" xr:uid="{00000000-0004-0000-0700-000000000000}"/>
    <hyperlink ref="N10:P10" location="'Nozzle &amp; Flow Rate'!A1" display="go to NOZZLE &amp; FLOW sheet" xr:uid="{00000000-0004-0000-0700-000001000000}"/>
  </hyperlinks>
  <printOptions horizontalCentered="1"/>
  <pageMargins left="0.5" right="0.5" top="1" bottom="0.5" header="0.5" footer="0.5"/>
  <pageSetup paperSize="9" scale="97" orientation="portrait" horizontalDpi="300" verticalDpi="300" r:id="rId1"/>
  <headerFooter alignWithMargins="0">
    <oddFooter xml:space="preserve">&amp;L&amp;"Cambria,Regular"&amp;8Tel  : +98 (21) 4420 1601
Tel  : +98 (21) 4420 1768
Fax : +98 (21) 4420 1934&amp;C&amp;"Cambria,Regular"&amp;8-  4  -&amp;R&amp;"Cambria,Regular"&amp;8Design by Ali Cheraghi
                 ( BSEE )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pageSetUpPr fitToPage="1"/>
  </sheetPr>
  <dimension ref="A1:T34"/>
  <sheetViews>
    <sheetView showGridLines="0" view="pageBreakPreview" zoomScale="115" zoomScaleNormal="100" zoomScaleSheetLayoutView="115" workbookViewId="0">
      <pane ySplit="18" topLeftCell="A19" activePane="bottomLeft" state="frozen"/>
      <selection pane="bottomLeft" activeCell="A6" sqref="A6:I6"/>
    </sheetView>
  </sheetViews>
  <sheetFormatPr defaultRowHeight="12.75"/>
  <cols>
    <col min="2" max="5" width="11.7109375" customWidth="1"/>
    <col min="6" max="9" width="8.7109375" customWidth="1"/>
  </cols>
  <sheetData>
    <row r="1" spans="1:20" s="200" customFormat="1" ht="9.9499999999999993" customHeight="1">
      <c r="A1" s="199"/>
      <c r="B1" s="199"/>
      <c r="C1" s="199"/>
      <c r="D1" s="199"/>
      <c r="E1" s="199"/>
      <c r="F1" s="199"/>
      <c r="G1" s="199"/>
      <c r="H1" s="201" t="s">
        <v>435</v>
      </c>
      <c r="I1" s="201" t="str">
        <f>Summary!K1</f>
        <v>1396/10/22</v>
      </c>
      <c r="J1" s="199"/>
    </row>
    <row r="2" spans="1:20" s="200" customFormat="1" ht="9.9499999999999993" customHeight="1">
      <c r="A2" s="199"/>
      <c r="B2" s="199"/>
      <c r="C2" s="199"/>
      <c r="D2" s="199"/>
      <c r="E2" s="199"/>
      <c r="F2" s="199"/>
      <c r="G2" s="199"/>
      <c r="H2" s="201" t="s">
        <v>436</v>
      </c>
      <c r="I2" s="201">
        <f>Summary!K2</f>
        <v>38.299999999999997</v>
      </c>
      <c r="J2" s="199"/>
    </row>
    <row r="3" spans="1:20" s="200" customFormat="1" ht="9.9499999999999993" customHeight="1">
      <c r="A3" s="199"/>
      <c r="B3" s="199"/>
      <c r="C3" s="199"/>
      <c r="D3" s="199"/>
      <c r="E3" s="199"/>
      <c r="F3" s="199"/>
      <c r="G3" s="199"/>
      <c r="H3" s="638" t="s">
        <v>437</v>
      </c>
      <c r="I3" s="638"/>
      <c r="J3" s="199"/>
    </row>
    <row r="4" spans="1:20" s="203" customFormat="1" ht="30" customHeight="1">
      <c r="A4" s="393" t="s">
        <v>299</v>
      </c>
      <c r="B4" s="393"/>
      <c r="C4" s="393"/>
      <c r="D4" s="393"/>
      <c r="E4" s="393"/>
      <c r="F4" s="393"/>
      <c r="G4" s="393"/>
      <c r="H4" s="393"/>
      <c r="I4" s="393"/>
      <c r="J4" s="202"/>
      <c r="K4" s="396" t="s">
        <v>483</v>
      </c>
      <c r="L4" s="396"/>
      <c r="M4" s="396"/>
      <c r="N4" s="396"/>
      <c r="O4" s="202"/>
      <c r="P4" s="202"/>
    </row>
    <row r="5" spans="1:20" s="203" customFormat="1" ht="20.100000000000001" customHeight="1">
      <c r="A5" s="394" t="s">
        <v>277</v>
      </c>
      <c r="B5" s="394"/>
      <c r="C5" s="394"/>
      <c r="D5" s="394"/>
      <c r="E5" s="394"/>
      <c r="F5" s="394"/>
      <c r="G5" s="394"/>
      <c r="H5" s="394"/>
      <c r="I5" s="394"/>
      <c r="J5" s="204"/>
      <c r="K5" s="396"/>
      <c r="L5" s="396"/>
      <c r="M5" s="396"/>
      <c r="N5" s="396"/>
      <c r="O5" s="204"/>
      <c r="P5" s="204"/>
    </row>
    <row r="6" spans="1:20" s="208" customFormat="1" ht="35.1" customHeight="1">
      <c r="A6" s="395" t="str">
        <f>Project.Name</f>
        <v>Insert Project Name</v>
      </c>
      <c r="B6" s="395"/>
      <c r="C6" s="395"/>
      <c r="D6" s="395"/>
      <c r="E6" s="395"/>
      <c r="F6" s="395"/>
      <c r="G6" s="395"/>
      <c r="H6" s="395"/>
      <c r="I6" s="395"/>
      <c r="J6" s="205"/>
      <c r="K6" s="205"/>
      <c r="L6" s="205"/>
      <c r="M6" s="205"/>
      <c r="N6" s="205"/>
      <c r="O6" s="205"/>
      <c r="P6" s="205"/>
      <c r="Q6" s="206"/>
      <c r="R6" s="207"/>
      <c r="S6" s="207"/>
      <c r="T6" s="207"/>
    </row>
    <row r="7" spans="1:20" s="200" customFormat="1"/>
    <row r="8" spans="1:20" ht="14.25">
      <c r="A8" s="64"/>
      <c r="B8" s="64"/>
      <c r="C8" s="64"/>
      <c r="D8" s="64"/>
      <c r="E8" s="64"/>
      <c r="F8" s="64"/>
      <c r="G8" s="64"/>
      <c r="H8" s="64"/>
      <c r="I8" s="64"/>
    </row>
    <row r="9" spans="1:20" ht="14.25" customHeight="1">
      <c r="A9" s="630" t="s">
        <v>477</v>
      </c>
      <c r="B9" s="631"/>
      <c r="C9" s="631"/>
      <c r="D9" s="245">
        <f>Sea_Level</f>
        <v>1200</v>
      </c>
      <c r="E9" s="250" t="s">
        <v>11</v>
      </c>
      <c r="F9" s="59"/>
    </row>
    <row r="10" spans="1:20" ht="14.25">
      <c r="A10" s="59"/>
      <c r="B10" s="188"/>
      <c r="C10" s="188"/>
      <c r="D10" s="238"/>
      <c r="E10" s="238"/>
      <c r="F10" s="188"/>
      <c r="G10" s="61"/>
      <c r="H10" s="65"/>
      <c r="I10" s="59"/>
    </row>
    <row r="11" spans="1:20" ht="14.25" customHeight="1">
      <c r="A11" s="630" t="s">
        <v>137</v>
      </c>
      <c r="B11" s="631"/>
      <c r="C11" s="631"/>
      <c r="D11" s="246">
        <f>K19</f>
        <v>0.89</v>
      </c>
      <c r="E11" s="65"/>
      <c r="I11" s="59"/>
    </row>
    <row r="12" spans="1:20" ht="14.25">
      <c r="A12" s="59"/>
      <c r="B12" s="188"/>
      <c r="C12" s="188"/>
      <c r="D12" s="238"/>
      <c r="E12" s="238"/>
      <c r="F12" s="188"/>
      <c r="G12" s="62"/>
      <c r="H12" s="65"/>
      <c r="I12" s="59"/>
    </row>
    <row r="13" spans="1:20" ht="14.25">
      <c r="A13" s="59"/>
      <c r="B13" s="238"/>
      <c r="C13" s="238"/>
      <c r="D13" s="238"/>
      <c r="E13" s="238"/>
      <c r="F13" s="238"/>
      <c r="G13" s="62"/>
      <c r="H13" s="65"/>
      <c r="I13" s="59"/>
    </row>
    <row r="14" spans="1:20" ht="24" customHeight="1">
      <c r="A14" s="634" t="s">
        <v>136</v>
      </c>
      <c r="B14" s="634"/>
      <c r="C14" s="634"/>
      <c r="D14" s="634"/>
      <c r="E14" s="634"/>
      <c r="F14" s="634"/>
      <c r="G14" s="634"/>
      <c r="H14" s="634"/>
      <c r="I14" s="634"/>
    </row>
    <row r="15" spans="1:20" ht="15.75">
      <c r="A15" s="629" t="s">
        <v>482</v>
      </c>
      <c r="B15" s="629"/>
      <c r="C15" s="629"/>
      <c r="D15" s="629"/>
      <c r="E15" s="629"/>
      <c r="F15" s="629"/>
      <c r="G15" s="629"/>
      <c r="H15" s="629"/>
      <c r="I15" s="629"/>
    </row>
    <row r="16" spans="1:20" ht="14.25">
      <c r="A16" s="635"/>
      <c r="B16" s="635"/>
      <c r="C16" s="635"/>
      <c r="D16" s="635"/>
      <c r="E16" s="635"/>
      <c r="F16" s="635"/>
      <c r="G16" s="635"/>
      <c r="H16" s="635"/>
      <c r="I16" s="635"/>
    </row>
    <row r="17" spans="1:11" ht="30" customHeight="1">
      <c r="A17" s="632" t="s">
        <v>241</v>
      </c>
      <c r="B17" s="632"/>
      <c r="C17" s="632"/>
      <c r="D17" s="636" t="s">
        <v>479</v>
      </c>
      <c r="E17" s="637"/>
      <c r="F17" s="633" t="s">
        <v>137</v>
      </c>
      <c r="G17" s="633"/>
      <c r="H17" s="633"/>
      <c r="I17" s="633"/>
    </row>
    <row r="18" spans="1:11">
      <c r="A18" s="247" t="s">
        <v>242</v>
      </c>
      <c r="B18" s="247" t="s">
        <v>240</v>
      </c>
      <c r="C18" s="247" t="s">
        <v>417</v>
      </c>
      <c r="D18" s="247" t="s">
        <v>480</v>
      </c>
      <c r="E18" s="247" t="s">
        <v>481</v>
      </c>
      <c r="F18" s="633"/>
      <c r="G18" s="633"/>
      <c r="H18" s="633"/>
      <c r="I18" s="633"/>
    </row>
    <row r="19" spans="1:11" ht="18" customHeight="1">
      <c r="A19" s="241">
        <v>-3000</v>
      </c>
      <c r="B19" s="242">
        <v>-0.92</v>
      </c>
      <c r="C19" s="243">
        <v>-920</v>
      </c>
      <c r="D19" s="244">
        <f>ROUNDUP(E19*0.01933677,2)</f>
        <v>16.25</v>
      </c>
      <c r="E19" s="243">
        <v>840</v>
      </c>
      <c r="F19" s="626">
        <v>1.1100000000000001</v>
      </c>
      <c r="G19" s="626"/>
      <c r="H19" s="626"/>
      <c r="I19" s="626"/>
      <c r="K19" s="251">
        <f>IF(AND(Sea_Level&lt;=C19),F19,K20)</f>
        <v>0.89</v>
      </c>
    </row>
    <row r="20" spans="1:11" ht="18" customHeight="1">
      <c r="A20" s="248">
        <v>-2000</v>
      </c>
      <c r="B20" s="249">
        <v>-0.61</v>
      </c>
      <c r="C20" s="248">
        <v>-610</v>
      </c>
      <c r="D20" s="249">
        <f t="shared" ref="D20:D32" si="0">ROUNDUP(E20*0.01933677,2)</f>
        <v>15.709999999999999</v>
      </c>
      <c r="E20" s="248">
        <v>812</v>
      </c>
      <c r="F20" s="627">
        <v>1.07</v>
      </c>
      <c r="G20" s="627"/>
      <c r="H20" s="627"/>
      <c r="I20" s="627"/>
      <c r="K20" s="251">
        <f t="shared" ref="K20:K32" si="1">IF(AND(Sea_Level&gt;=C19,Sea_Level&lt;C20),F19,K21)</f>
        <v>0.89</v>
      </c>
    </row>
    <row r="21" spans="1:11" ht="18" customHeight="1">
      <c r="A21" s="241">
        <v>-1000</v>
      </c>
      <c r="B21" s="242">
        <v>-0.3</v>
      </c>
      <c r="C21" s="243">
        <v>-300</v>
      </c>
      <c r="D21" s="244">
        <f t="shared" si="0"/>
        <v>15.22</v>
      </c>
      <c r="E21" s="243">
        <v>787</v>
      </c>
      <c r="F21" s="626">
        <v>1.04</v>
      </c>
      <c r="G21" s="626"/>
      <c r="H21" s="626"/>
      <c r="I21" s="626"/>
      <c r="K21" s="251">
        <f t="shared" si="1"/>
        <v>0.89</v>
      </c>
    </row>
    <row r="22" spans="1:11" ht="18" customHeight="1">
      <c r="A22" s="248">
        <v>0</v>
      </c>
      <c r="B22" s="249">
        <v>0</v>
      </c>
      <c r="C22" s="248">
        <v>0</v>
      </c>
      <c r="D22" s="249">
        <f t="shared" si="0"/>
        <v>14.7</v>
      </c>
      <c r="E22" s="248">
        <v>760</v>
      </c>
      <c r="F22" s="627">
        <v>1</v>
      </c>
      <c r="G22" s="627"/>
      <c r="H22" s="627"/>
      <c r="I22" s="627"/>
      <c r="K22" s="251">
        <f t="shared" si="1"/>
        <v>0.89</v>
      </c>
    </row>
    <row r="23" spans="1:11" ht="18" customHeight="1">
      <c r="A23" s="241">
        <v>1000</v>
      </c>
      <c r="B23" s="242">
        <v>0.3</v>
      </c>
      <c r="C23" s="243">
        <v>300</v>
      </c>
      <c r="D23" s="244">
        <f t="shared" si="0"/>
        <v>14.18</v>
      </c>
      <c r="E23" s="243">
        <v>733</v>
      </c>
      <c r="F23" s="626">
        <v>0.96</v>
      </c>
      <c r="G23" s="626"/>
      <c r="H23" s="626"/>
      <c r="I23" s="626"/>
      <c r="K23" s="251">
        <f t="shared" si="1"/>
        <v>0.89</v>
      </c>
    </row>
    <row r="24" spans="1:11" ht="18" customHeight="1">
      <c r="A24" s="248">
        <v>2000</v>
      </c>
      <c r="B24" s="249">
        <v>0.61</v>
      </c>
      <c r="C24" s="248">
        <v>610</v>
      </c>
      <c r="D24" s="249">
        <f t="shared" si="0"/>
        <v>13.64</v>
      </c>
      <c r="E24" s="248">
        <v>705</v>
      </c>
      <c r="F24" s="627">
        <v>0.93</v>
      </c>
      <c r="G24" s="627"/>
      <c r="H24" s="627"/>
      <c r="I24" s="627"/>
      <c r="K24" s="251">
        <f t="shared" si="1"/>
        <v>0.89</v>
      </c>
    </row>
    <row r="25" spans="1:11" ht="18" customHeight="1">
      <c r="A25" s="241">
        <v>3000</v>
      </c>
      <c r="B25" s="242">
        <v>0.91</v>
      </c>
      <c r="C25" s="243">
        <v>910</v>
      </c>
      <c r="D25" s="244">
        <f t="shared" si="0"/>
        <v>13.12</v>
      </c>
      <c r="E25" s="243">
        <v>678</v>
      </c>
      <c r="F25" s="626">
        <v>0.89</v>
      </c>
      <c r="G25" s="626"/>
      <c r="H25" s="626"/>
      <c r="I25" s="626"/>
      <c r="K25" s="251">
        <f t="shared" si="1"/>
        <v>0.89</v>
      </c>
    </row>
    <row r="26" spans="1:11" ht="18" customHeight="1">
      <c r="A26" s="248">
        <v>4000</v>
      </c>
      <c r="B26" s="249">
        <v>1.22</v>
      </c>
      <c r="C26" s="248">
        <v>1220</v>
      </c>
      <c r="D26" s="249">
        <f t="shared" si="0"/>
        <v>12.57</v>
      </c>
      <c r="E26" s="248">
        <v>650</v>
      </c>
      <c r="F26" s="627">
        <v>0.86</v>
      </c>
      <c r="G26" s="627"/>
      <c r="H26" s="627"/>
      <c r="I26" s="627"/>
      <c r="K26" s="251">
        <f t="shared" si="1"/>
        <v>0.89</v>
      </c>
    </row>
    <row r="27" spans="1:11" ht="18" customHeight="1">
      <c r="A27" s="243">
        <v>5000</v>
      </c>
      <c r="B27" s="244">
        <v>1.52</v>
      </c>
      <c r="C27" s="243">
        <v>1520</v>
      </c>
      <c r="D27" s="244">
        <f t="shared" si="0"/>
        <v>12.03</v>
      </c>
      <c r="E27" s="243">
        <v>622</v>
      </c>
      <c r="F27" s="628">
        <v>0.82</v>
      </c>
      <c r="G27" s="628"/>
      <c r="H27" s="628"/>
      <c r="I27" s="628"/>
      <c r="K27" s="251">
        <f t="shared" si="1"/>
        <v>0</v>
      </c>
    </row>
    <row r="28" spans="1:11" ht="18" customHeight="1">
      <c r="A28" s="248">
        <v>6000</v>
      </c>
      <c r="B28" s="249">
        <v>1.83</v>
      </c>
      <c r="C28" s="248">
        <v>1830</v>
      </c>
      <c r="D28" s="249">
        <f t="shared" si="0"/>
        <v>11.53</v>
      </c>
      <c r="E28" s="248">
        <v>596</v>
      </c>
      <c r="F28" s="627">
        <v>0.78</v>
      </c>
      <c r="G28" s="627"/>
      <c r="H28" s="627"/>
      <c r="I28" s="627"/>
      <c r="K28" s="251">
        <f t="shared" si="1"/>
        <v>0</v>
      </c>
    </row>
    <row r="29" spans="1:11" ht="18" customHeight="1">
      <c r="A29" s="243">
        <v>7000</v>
      </c>
      <c r="B29" s="244">
        <v>2.13</v>
      </c>
      <c r="C29" s="243">
        <v>2130</v>
      </c>
      <c r="D29" s="244">
        <f t="shared" si="0"/>
        <v>11.03</v>
      </c>
      <c r="E29" s="243">
        <v>570</v>
      </c>
      <c r="F29" s="626">
        <v>0.75</v>
      </c>
      <c r="G29" s="626"/>
      <c r="H29" s="626"/>
      <c r="I29" s="626"/>
      <c r="K29" s="251">
        <f t="shared" si="1"/>
        <v>0</v>
      </c>
    </row>
    <row r="30" spans="1:11" ht="18" customHeight="1">
      <c r="A30" s="248">
        <v>8000</v>
      </c>
      <c r="B30" s="249">
        <v>2.4500000000000002</v>
      </c>
      <c r="C30" s="248">
        <v>2450</v>
      </c>
      <c r="D30" s="249">
        <f t="shared" si="0"/>
        <v>10.64</v>
      </c>
      <c r="E30" s="248">
        <v>550</v>
      </c>
      <c r="F30" s="627">
        <v>0.72</v>
      </c>
      <c r="G30" s="627"/>
      <c r="H30" s="627"/>
      <c r="I30" s="627"/>
      <c r="K30" s="251">
        <f t="shared" si="1"/>
        <v>0</v>
      </c>
    </row>
    <row r="31" spans="1:11" ht="18" customHeight="1">
      <c r="A31" s="243">
        <v>9000</v>
      </c>
      <c r="B31" s="244">
        <v>2.74</v>
      </c>
      <c r="C31" s="243">
        <v>2740</v>
      </c>
      <c r="D31" s="244">
        <f t="shared" si="0"/>
        <v>10.209999999999999</v>
      </c>
      <c r="E31" s="243">
        <v>528</v>
      </c>
      <c r="F31" s="626">
        <v>0.69</v>
      </c>
      <c r="G31" s="626"/>
      <c r="H31" s="626"/>
      <c r="I31" s="626"/>
      <c r="K31" s="251">
        <f t="shared" si="1"/>
        <v>0</v>
      </c>
    </row>
    <row r="32" spans="1:11" ht="18" customHeight="1">
      <c r="A32" s="248">
        <v>10000</v>
      </c>
      <c r="B32" s="249">
        <v>3.05</v>
      </c>
      <c r="C32" s="248">
        <v>3050</v>
      </c>
      <c r="D32" s="249">
        <f t="shared" si="0"/>
        <v>9.77</v>
      </c>
      <c r="E32" s="248">
        <v>505</v>
      </c>
      <c r="F32" s="627">
        <v>0.66</v>
      </c>
      <c r="G32" s="627"/>
      <c r="H32" s="627"/>
      <c r="I32" s="627"/>
      <c r="K32" s="251">
        <f t="shared" si="1"/>
        <v>0</v>
      </c>
    </row>
    <row r="33" spans="1:9" ht="14.25">
      <c r="A33" s="59"/>
      <c r="B33" s="59"/>
      <c r="C33" s="59"/>
      <c r="D33" s="59"/>
      <c r="E33" s="59"/>
      <c r="F33" s="59"/>
      <c r="G33" s="59"/>
      <c r="H33" s="59"/>
      <c r="I33" s="59"/>
    </row>
    <row r="34" spans="1:9" ht="14.25">
      <c r="A34" s="59"/>
      <c r="B34" s="59"/>
      <c r="C34" s="59"/>
      <c r="D34" s="59"/>
      <c r="E34" s="59"/>
      <c r="F34" s="59"/>
      <c r="G34" s="59"/>
      <c r="H34" s="59"/>
      <c r="I34" s="59"/>
    </row>
  </sheetData>
  <sheetProtection password="8BE7" sheet="1" objects="1" scenarios="1"/>
  <mergeCells count="28">
    <mergeCell ref="H3:I3"/>
    <mergeCell ref="K4:N4"/>
    <mergeCell ref="K5:N5"/>
    <mergeCell ref="A4:I4"/>
    <mergeCell ref="A5:I5"/>
    <mergeCell ref="F20:I20"/>
    <mergeCell ref="A14:I14"/>
    <mergeCell ref="A16:I16"/>
    <mergeCell ref="D17:E17"/>
    <mergeCell ref="F19:I19"/>
    <mergeCell ref="A6:I6"/>
    <mergeCell ref="A15:I15"/>
    <mergeCell ref="A11:C11"/>
    <mergeCell ref="A9:C9"/>
    <mergeCell ref="A17:C17"/>
    <mergeCell ref="F17:I18"/>
    <mergeCell ref="F21:I21"/>
    <mergeCell ref="F22:I22"/>
    <mergeCell ref="F23:I23"/>
    <mergeCell ref="F24:I24"/>
    <mergeCell ref="F25:I25"/>
    <mergeCell ref="F31:I31"/>
    <mergeCell ref="F32:I32"/>
    <mergeCell ref="F26:I26"/>
    <mergeCell ref="F27:I27"/>
    <mergeCell ref="F28:I28"/>
    <mergeCell ref="F29:I29"/>
    <mergeCell ref="F30:I30"/>
  </mergeCells>
  <conditionalFormatting sqref="G10 D11">
    <cfRule type="expression" dxfId="4" priority="1" stopIfTrue="1">
      <formula>$G$43&lt;-15</formula>
    </cfRule>
  </conditionalFormatting>
  <hyperlinks>
    <hyperlink ref="K4:N4" location="'Protected Areas'!A1" display="back to Protected Areas" xr:uid="{00000000-0004-0000-0800-000000000000}"/>
  </hyperlinks>
  <pageMargins left="0.7" right="0.7" top="0.75" bottom="0.75" header="0.5" footer="0.5"/>
  <pageSetup paperSize="9" scale="97" orientation="portrait" horizontalDpi="1200" verticalDpi="1200" r:id="rId1"/>
  <headerFooter>
    <oddHeader>&amp;L&amp;G</oddHeader>
    <oddFooter>&amp;L&amp;"Cambria,Regular"&amp;7Tel  : +98 ( 21 ) 4420 1601
&amp;K00+000Tel  : &amp;K000000+98 ( 21 ) 4420 1768
Fax : +98 ( 21 ) 4420 1934&amp;C&amp;"Cambria,Regular"&amp;7-6-&amp;R&amp;"Cambria,Regular"&amp;7Created by Ali Cheraghi
(BSEE)</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142</vt:i4>
      </vt:variant>
    </vt:vector>
  </HeadingPairs>
  <TitlesOfParts>
    <vt:vector size="159" baseType="lpstr">
      <vt:lpstr>Introduction</vt:lpstr>
      <vt:lpstr>Summary</vt:lpstr>
      <vt:lpstr>raw data</vt:lpstr>
      <vt:lpstr>Protected Areas</vt:lpstr>
      <vt:lpstr>Nozzle &amp; Flow Rate</vt:lpstr>
      <vt:lpstr>THORN Cylinder</vt:lpstr>
      <vt:lpstr>LPG Cylinder</vt:lpstr>
      <vt:lpstr>Pipe</vt:lpstr>
      <vt:lpstr>Altitude</vt:lpstr>
      <vt:lpstr>NFPA S.V.V</vt:lpstr>
      <vt:lpstr>Fule M.D.C</vt:lpstr>
      <vt:lpstr>M.D.C ( MARIN )</vt:lpstr>
      <vt:lpstr>FM 200 Info.</vt:lpstr>
      <vt:lpstr>1.Container</vt:lpstr>
      <vt:lpstr>3.NOZZELS</vt:lpstr>
      <vt:lpstr>Flow</vt:lpstr>
      <vt:lpstr>Opening Loss</vt:lpstr>
      <vt:lpstr>Altitude_Correction_Factors</vt:lpstr>
      <vt:lpstr>brand</vt:lpstr>
      <vt:lpstr>Cylinder_Filling_L_Max.</vt:lpstr>
      <vt:lpstr>Cylinder_Filling_L_Min.</vt:lpstr>
      <vt:lpstr>Cylinder_Filling_LPG</vt:lpstr>
      <vt:lpstr>Cylinder_Filling_T_Max.</vt:lpstr>
      <vt:lpstr>Cylinder_Filling_T_Min.</vt:lpstr>
      <vt:lpstr>Cylinder_Filling_THORN</vt:lpstr>
      <vt:lpstr>Cylinder_PN_LPG1</vt:lpstr>
      <vt:lpstr>Cylinder_PN_LPG2</vt:lpstr>
      <vt:lpstr>Cylinder_PN_LPG3</vt:lpstr>
      <vt:lpstr>Cylinder_PN_THORN</vt:lpstr>
      <vt:lpstr>Cylinder_Size</vt:lpstr>
      <vt:lpstr>Cylinders_Size_List</vt:lpstr>
      <vt:lpstr>Design_Standards</vt:lpstr>
      <vt:lpstr>Fire_Class</vt:lpstr>
      <vt:lpstr>Fire_Class_NO</vt:lpstr>
      <vt:lpstr>Fire_Classification</vt:lpstr>
      <vt:lpstr>L_100_Max</vt:lpstr>
      <vt:lpstr>L_100_Min</vt:lpstr>
      <vt:lpstr>L_120_Max</vt:lpstr>
      <vt:lpstr>L_120_Min</vt:lpstr>
      <vt:lpstr>L_13.4_Max</vt:lpstr>
      <vt:lpstr>L_13.4_Min</vt:lpstr>
      <vt:lpstr>L_26.8_Max</vt:lpstr>
      <vt:lpstr>L_26.8_Min</vt:lpstr>
      <vt:lpstr>L_40.2_Max</vt:lpstr>
      <vt:lpstr>L_40.2_Min</vt:lpstr>
      <vt:lpstr>L_5_Max</vt:lpstr>
      <vt:lpstr>L_5_Min</vt:lpstr>
      <vt:lpstr>L_67_Max</vt:lpstr>
      <vt:lpstr>L_67_Min</vt:lpstr>
      <vt:lpstr>L_75_Max</vt:lpstr>
      <vt:lpstr>L_75_Min</vt:lpstr>
      <vt:lpstr>LPG_100_M1</vt:lpstr>
      <vt:lpstr>LPG_100_M2</vt:lpstr>
      <vt:lpstr>LPG_100_S</vt:lpstr>
      <vt:lpstr>LPG_120_M1</vt:lpstr>
      <vt:lpstr>LPG_120_M2</vt:lpstr>
      <vt:lpstr>LPG_120_S</vt:lpstr>
      <vt:lpstr>LPG_13.4_M1</vt:lpstr>
      <vt:lpstr>LPG_13.4_S</vt:lpstr>
      <vt:lpstr>LPG_26.8_M1</vt:lpstr>
      <vt:lpstr>LPG_26.8_S</vt:lpstr>
      <vt:lpstr>LPG_40.2_M1</vt:lpstr>
      <vt:lpstr>LPG_40.2_S</vt:lpstr>
      <vt:lpstr>LPG_5_M1</vt:lpstr>
      <vt:lpstr>LPG_5_S</vt:lpstr>
      <vt:lpstr>LPG_67_M1</vt:lpstr>
      <vt:lpstr>LPG_67_M2</vt:lpstr>
      <vt:lpstr>LPG_67_S</vt:lpstr>
      <vt:lpstr>LPG_75_M1</vt:lpstr>
      <vt:lpstr>LPG_75_M2</vt:lpstr>
      <vt:lpstr>LPG_75_S</vt:lpstr>
      <vt:lpstr>M.D.C.</vt:lpstr>
      <vt:lpstr>M.D.C._10</vt:lpstr>
      <vt:lpstr>M.D.C._11</vt:lpstr>
      <vt:lpstr>M.D.C._12</vt:lpstr>
      <vt:lpstr>M.D.C._13</vt:lpstr>
      <vt:lpstr>M.D.C._14</vt:lpstr>
      <vt:lpstr>M.D.C._15</vt:lpstr>
      <vt:lpstr>M.D.C._6</vt:lpstr>
      <vt:lpstr>M.D.C._7</vt:lpstr>
      <vt:lpstr>M.D.C._8</vt:lpstr>
      <vt:lpstr>M.D.C._9</vt:lpstr>
      <vt:lpstr>M.D.C_EN</vt:lpstr>
      <vt:lpstr>M.D.C_FM</vt:lpstr>
      <vt:lpstr>M.D.C_ISO</vt:lpstr>
      <vt:lpstr>M.D.C_NFPA</vt:lpstr>
      <vt:lpstr>M.D.C_Vds</vt:lpstr>
      <vt:lpstr>Nozzle_LPG_spec</vt:lpstr>
      <vt:lpstr>Nozzle_THORN_spec</vt:lpstr>
      <vt:lpstr>Number_of_Cylinder</vt:lpstr>
      <vt:lpstr>Number_of_Hazard</vt:lpstr>
      <vt:lpstr>Altitude!Print_Area</vt:lpstr>
      <vt:lpstr>'Fule M.D.C'!Print_Area</vt:lpstr>
      <vt:lpstr>'LPG Cylinder'!Print_Area</vt:lpstr>
      <vt:lpstr>'NFPA S.V.V'!Print_Area</vt:lpstr>
      <vt:lpstr>'Nozzle &amp; Flow Rate'!Print_Area</vt:lpstr>
      <vt:lpstr>Pipe!Print_Area</vt:lpstr>
      <vt:lpstr>'Protected Areas'!Print_Area</vt:lpstr>
      <vt:lpstr>Summary!Print_Area</vt:lpstr>
      <vt:lpstr>'THORN Cylinder'!Print_Area</vt:lpstr>
      <vt:lpstr>Project.Name</vt:lpstr>
      <vt:lpstr>quantity</vt:lpstr>
      <vt:lpstr>S.V.V._Max.</vt:lpstr>
      <vt:lpstr>S.V.V._Min.</vt:lpstr>
      <vt:lpstr>s.v.volume</vt:lpstr>
      <vt:lpstr>Sea_Level</vt:lpstr>
      <vt:lpstr>Standards</vt:lpstr>
      <vt:lpstr>T_106_Max</vt:lpstr>
      <vt:lpstr>T_106_Min</vt:lpstr>
      <vt:lpstr>T_147_Max</vt:lpstr>
      <vt:lpstr>T_147_Min</vt:lpstr>
      <vt:lpstr>T_16_Max</vt:lpstr>
      <vt:lpstr>T_16_Min</vt:lpstr>
      <vt:lpstr>T_180_Max</vt:lpstr>
      <vt:lpstr>T_180_Min</vt:lpstr>
      <vt:lpstr>T_32_Max</vt:lpstr>
      <vt:lpstr>T_32_Min</vt:lpstr>
      <vt:lpstr>T_343_Max</vt:lpstr>
      <vt:lpstr>T_343_Min</vt:lpstr>
      <vt:lpstr>T_4.5_Max</vt:lpstr>
      <vt:lpstr>T_4.5_Min</vt:lpstr>
      <vt:lpstr>T_40_Max</vt:lpstr>
      <vt:lpstr>T_40_Min</vt:lpstr>
      <vt:lpstr>T_52_Max</vt:lpstr>
      <vt:lpstr>T_52_Min</vt:lpstr>
      <vt:lpstr>T_67.5_Max</vt:lpstr>
      <vt:lpstr>T_67.5_Min</vt:lpstr>
      <vt:lpstr>T_8_Max</vt:lpstr>
      <vt:lpstr>T_8_Min</vt:lpstr>
      <vt:lpstr>T_80_Max</vt:lpstr>
      <vt:lpstr>T_80_Min</vt:lpstr>
      <vt:lpstr>Temp._Max.</vt:lpstr>
      <vt:lpstr>Temp._Min.</vt:lpstr>
      <vt:lpstr>THORN_106</vt:lpstr>
      <vt:lpstr>THORN_147</vt:lpstr>
      <vt:lpstr>THORN_16</vt:lpstr>
      <vt:lpstr>THORN_180</vt:lpstr>
      <vt:lpstr>THORN_32</vt:lpstr>
      <vt:lpstr>THORN_343</vt:lpstr>
      <vt:lpstr>THORN_4.5</vt:lpstr>
      <vt:lpstr>THORN_40</vt:lpstr>
      <vt:lpstr>THORN_52</vt:lpstr>
      <vt:lpstr>THORN_67</vt:lpstr>
      <vt:lpstr>THORN_8</vt:lpstr>
      <vt:lpstr>THORN_80</vt:lpstr>
      <vt:lpstr>Total.Volume</vt:lpstr>
      <vt:lpstr>Total.Volume.1</vt:lpstr>
      <vt:lpstr>Total.Volume.2</vt:lpstr>
      <vt:lpstr>Total.Volume.3</vt:lpstr>
      <vt:lpstr>Total.Volume.4</vt:lpstr>
      <vt:lpstr>Total.Volume.5</vt:lpstr>
      <vt:lpstr>Total_Agent</vt:lpstr>
      <vt:lpstr>Total_Agent_Basic</vt:lpstr>
      <vt:lpstr>Total_Agent_Set</vt:lpstr>
      <vt:lpstr>Volume_01_percent</vt:lpstr>
      <vt:lpstr>Volume_02_percent</vt:lpstr>
      <vt:lpstr>Volume_03_percent</vt:lpstr>
      <vt:lpstr>Volume_04_percent</vt:lpstr>
      <vt:lpstr>Volume_05_percent</vt:lpstr>
    </vt:vector>
  </TitlesOfParts>
  <Company>NOOR NEDA System 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FM-200  Calculator</dc:title>
  <dc:creator>A.CHERAGHI</dc:creator>
  <cp:keywords>1385/05/12</cp:keywords>
  <cp:lastModifiedBy>Ali Cheraghi</cp:lastModifiedBy>
  <cp:lastPrinted>2017-06-06T12:20:25Z</cp:lastPrinted>
  <dcterms:created xsi:type="dcterms:W3CDTF">2006-03-12T07:28:07Z</dcterms:created>
  <dcterms:modified xsi:type="dcterms:W3CDTF">2018-05-15T05:33:01Z</dcterms:modified>
</cp:coreProperties>
</file>